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Prefeitura Euclides\QUADRA 400 MIL\PROJETOS EM ANALISE\1º Alteração\"/>
    </mc:Choice>
  </mc:AlternateContent>
  <bookViews>
    <workbookView xWindow="0" yWindow="0" windowWidth="28800" windowHeight="12300"/>
  </bookViews>
  <sheets>
    <sheet name="GALERIAS" sheetId="4" r:id="rId1"/>
    <sheet name="Planilha1" sheetId="5" r:id="rId2"/>
    <sheet name="CRONOMOD" sheetId="6" r:id="rId3"/>
  </sheets>
  <externalReferences>
    <externalReference r:id="rId4"/>
  </externalReferences>
  <definedNames>
    <definedName name="_xlnm.Print_Area" localSheetId="2">CRONOMOD!$A$1:$J$35</definedName>
    <definedName name="_xlnm.Print_Area" localSheetId="0">GALERIAS!$A$1:$G$92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4" l="1"/>
  <c r="H20" i="4"/>
  <c r="F20" i="4"/>
  <c r="G20" i="4"/>
  <c r="A35" i="6" l="1"/>
  <c r="A34" i="6"/>
  <c r="F30" i="6"/>
  <c r="J29" i="6"/>
  <c r="D28" i="6"/>
  <c r="D30" i="6" s="1"/>
  <c r="J30" i="6" s="1"/>
  <c r="J26" i="6"/>
  <c r="J25" i="6"/>
  <c r="J24" i="6"/>
  <c r="J23" i="6"/>
  <c r="J22" i="6"/>
  <c r="J21" i="6"/>
  <c r="J20" i="6"/>
  <c r="J19" i="6"/>
  <c r="J18" i="6"/>
  <c r="J17" i="6"/>
  <c r="J16" i="6"/>
  <c r="J15" i="6"/>
  <c r="F13" i="6"/>
  <c r="J13" i="6" s="1"/>
  <c r="J28" i="6" l="1"/>
  <c r="E29" i="4"/>
  <c r="G29" i="4" s="1"/>
  <c r="F29" i="4"/>
  <c r="E48" i="4"/>
  <c r="H79" i="4"/>
  <c r="F79" i="4" s="1"/>
  <c r="G79" i="4" s="1"/>
  <c r="H78" i="4"/>
  <c r="F78" i="4" s="1"/>
  <c r="G78" i="4" s="1"/>
  <c r="H65" i="4"/>
  <c r="F65" i="4" s="1"/>
  <c r="G65" i="4" s="1"/>
  <c r="H53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G53" i="4" s="1"/>
  <c r="F54" i="4"/>
  <c r="F55" i="4"/>
  <c r="F56" i="4"/>
  <c r="F57" i="4"/>
  <c r="F58" i="4"/>
  <c r="F59" i="4"/>
  <c r="F60" i="4"/>
  <c r="F61" i="4"/>
  <c r="F62" i="4"/>
  <c r="F63" i="4"/>
  <c r="F66" i="4"/>
  <c r="F67" i="4"/>
  <c r="F68" i="4"/>
  <c r="F69" i="4"/>
  <c r="F70" i="4"/>
  <c r="F71" i="4"/>
  <c r="F72" i="4"/>
  <c r="F73" i="4"/>
  <c r="F74" i="4"/>
  <c r="F75" i="4"/>
  <c r="F76" i="4"/>
  <c r="F77" i="4"/>
  <c r="F80" i="4"/>
  <c r="F81" i="4"/>
  <c r="G81" i="4" s="1"/>
  <c r="F37" i="4"/>
  <c r="F22" i="4"/>
  <c r="F23" i="4"/>
  <c r="F24" i="4"/>
  <c r="F25" i="4"/>
  <c r="F26" i="4"/>
  <c r="F27" i="4"/>
  <c r="F28" i="4"/>
  <c r="F30" i="4"/>
  <c r="F31" i="4"/>
  <c r="F32" i="4"/>
  <c r="F33" i="4"/>
  <c r="F34" i="4"/>
  <c r="F35" i="4"/>
  <c r="F21" i="4"/>
  <c r="E49" i="4"/>
  <c r="G49" i="4" s="1"/>
  <c r="G22" i="4" l="1"/>
  <c r="E21" i="4"/>
  <c r="E25" i="4" l="1"/>
  <c r="G50" i="4"/>
  <c r="G52" i="4"/>
  <c r="G54" i="4"/>
  <c r="G56" i="4"/>
  <c r="G57" i="4"/>
  <c r="G58" i="4"/>
  <c r="G59" i="4"/>
  <c r="G60" i="4"/>
  <c r="G61" i="4"/>
  <c r="G62" i="4"/>
  <c r="G63" i="4"/>
  <c r="G66" i="4"/>
  <c r="G68" i="4"/>
  <c r="G69" i="4"/>
  <c r="G70" i="4"/>
  <c r="G71" i="4"/>
  <c r="G72" i="4"/>
  <c r="G73" i="4"/>
  <c r="G75" i="4"/>
  <c r="G76" i="4"/>
  <c r="G77" i="4"/>
  <c r="G80" i="4"/>
  <c r="E34" i="4"/>
  <c r="E30" i="4"/>
  <c r="E32" i="4"/>
  <c r="E26" i="4"/>
  <c r="G74" i="4"/>
  <c r="G67" i="4"/>
  <c r="E51" i="4"/>
  <c r="G55" i="4"/>
  <c r="G64" i="4" l="1"/>
  <c r="G33" i="4"/>
  <c r="G34" i="4"/>
  <c r="G21" i="4"/>
  <c r="G32" i="4"/>
  <c r="G51" i="4"/>
  <c r="G47" i="4" l="1"/>
  <c r="E46" i="4"/>
  <c r="G46" i="4" s="1"/>
  <c r="E45" i="4"/>
  <c r="G44" i="4"/>
  <c r="E43" i="4"/>
  <c r="E39" i="4"/>
  <c r="E38" i="4"/>
  <c r="E37" i="4"/>
  <c r="E42" i="4"/>
  <c r="E41" i="4"/>
  <c r="G41" i="4" s="1"/>
  <c r="E40" i="4"/>
  <c r="G40" i="4" s="1"/>
  <c r="E31" i="4"/>
  <c r="E23" i="4"/>
  <c r="E24" i="4"/>
  <c r="E28" i="4"/>
  <c r="G28" i="4" s="1"/>
  <c r="E27" i="4"/>
  <c r="G48" i="4" l="1"/>
  <c r="G36" i="4" s="1"/>
  <c r="G37" i="4"/>
  <c r="G39" i="4"/>
  <c r="G42" i="4"/>
  <c r="G45" i="4"/>
  <c r="G43" i="4"/>
  <c r="G38" i="4"/>
  <c r="E14" i="5"/>
  <c r="C15" i="5"/>
  <c r="C14" i="5"/>
  <c r="B8" i="5"/>
  <c r="D15" i="5"/>
  <c r="E15" i="5" s="1"/>
  <c r="B11" i="5"/>
  <c r="B10" i="5"/>
  <c r="C5" i="5"/>
  <c r="B5" i="5"/>
  <c r="D5" i="5" s="1"/>
  <c r="E5" i="5" s="1"/>
  <c r="F5" i="5" s="1"/>
  <c r="E3" i="5"/>
  <c r="F3" i="5" s="1"/>
  <c r="G27" i="4" l="1"/>
  <c r="G35" i="4"/>
  <c r="G31" i="4"/>
  <c r="G26" i="4"/>
  <c r="G23" i="4" l="1"/>
  <c r="G24" i="4"/>
  <c r="G25" i="4"/>
  <c r="G30" i="4"/>
  <c r="G82" i="4" l="1"/>
  <c r="F14" i="6" s="1"/>
  <c r="J14" i="6" s="1"/>
</calcChain>
</file>

<file path=xl/sharedStrings.xml><?xml version="1.0" encoding="utf-8"?>
<sst xmlns="http://schemas.openxmlformats.org/spreadsheetml/2006/main" count="270" uniqueCount="193">
  <si>
    <t>1.1</t>
  </si>
  <si>
    <t>1.2</t>
  </si>
  <si>
    <t>1.3</t>
  </si>
  <si>
    <t>TOTAL</t>
  </si>
  <si>
    <t>1.4</t>
  </si>
  <si>
    <t>1.5</t>
  </si>
  <si>
    <t>1.6</t>
  </si>
  <si>
    <t>1.7</t>
  </si>
  <si>
    <t>1.8</t>
  </si>
  <si>
    <t>ORÇAMENTO SINTÉTICO GLOBAL</t>
  </si>
  <si>
    <t>CLIENTE</t>
  </si>
  <si>
    <t>OBRA</t>
  </si>
  <si>
    <t>LOCAL</t>
  </si>
  <si>
    <t>BDI</t>
  </si>
  <si>
    <t>EXTENSÃO.</t>
  </si>
  <si>
    <t>DATA BASE:</t>
  </si>
  <si>
    <t>DESCRIÇÃO DOS SERVIÇOS</t>
  </si>
  <si>
    <t>UNID.</t>
  </si>
  <si>
    <t>QUANT.</t>
  </si>
  <si>
    <t>PREÇO UNITÁRIO</t>
  </si>
  <si>
    <t>PREÇO TOTAL COM BDI</t>
  </si>
  <si>
    <t>1</t>
  </si>
  <si>
    <t>Cod.</t>
  </si>
  <si>
    <t>Engenheiro Civil</t>
  </si>
  <si>
    <t>MUNICIPIO DE EUCLIDES DA CUNHA PAULISTA</t>
  </si>
  <si>
    <t>ARMAÇÃO DE PILAR OU VIGA DE UMA ESTRUTURA CONVENCIONAL DE CONCRETO ARMADO EM UMA EDIFICAÇÃO TÉRREA OU SOBRADO UTILIZANDO AÇO CA-50 DE 8,0 MM - MONTAGEM. AF_12/2015</t>
  </si>
  <si>
    <t>KG</t>
  </si>
  <si>
    <t>Pilares</t>
  </si>
  <si>
    <t>Comprimento</t>
  </si>
  <si>
    <t>barras</t>
  </si>
  <si>
    <t>estribos</t>
  </si>
  <si>
    <t>comprimento</t>
  </si>
  <si>
    <t>Quantidade</t>
  </si>
  <si>
    <t>pilares</t>
  </si>
  <si>
    <t>ARMAÇÃO DE PILAR OU VIGA DE UMA ESTRUTURA CONVENCIONAL DE CONCRETO ARMADO EM UMA EDIFICAÇÃO TÉRREA OU SOBRADO UTILIZANDO AÇO CA-50 DE 6,3 MM - MONTAGEM. AF_12/2015</t>
  </si>
  <si>
    <t>GRAUTE FGK=20 MPA; TRAÇO 1:0,04:1,6:1,9 (CIMENTO/ CAL/ AREIA GROSSA/ BRITA 0) - PREPARO MECÂNICO COM BETONEIRA 400 L. AF_02/2015</t>
  </si>
  <si>
    <t>concreto pilar</t>
  </si>
  <si>
    <t>paredes</t>
  </si>
  <si>
    <t>1.9</t>
  </si>
  <si>
    <t>1.10</t>
  </si>
  <si>
    <t>1.11</t>
  </si>
  <si>
    <t>baldrame</t>
  </si>
  <si>
    <t>ferros</t>
  </si>
  <si>
    <t>ARMAÇÃO DE BLOCO, VIGA BALDRAME OU SAPATA UTILIZANDO AÇO CA-50 DE 6,3 ARMAÇÃO DE BLOCO, VIGA BALDRAME OU SAPATA UTILIZANDO AÇO CA-50 DE 6,3</t>
  </si>
  <si>
    <t>1.12</t>
  </si>
  <si>
    <t>M2</t>
  </si>
  <si>
    <t>1.13</t>
  </si>
  <si>
    <t>1.14</t>
  </si>
  <si>
    <t>1.15</t>
  </si>
  <si>
    <t>TELHAMENTO COM TELHA ONDULADA DE FIBROCIMENTO E = 6 MM, COM RECOBRIMENTELHAMENTO COM TELHA ONDULADA DE FIBROCIMENTO E = 6 MM, COM RECOBRIMENOM ATÉ 2 ÁGUAS, INCLUSO IÇAMENTO. AF_07/2019</t>
  </si>
  <si>
    <t>M</t>
  </si>
  <si>
    <t>CINTA DE AMARRAÇÃO DE ALVENARIA MOLDADA IN LOCO COM UTILIZAÇÃO DE BLOCOS CANALETA. AF_03/2016</t>
  </si>
  <si>
    <t>ELETRODUTO FLEXÍVEL CORRUGADO, PVC, DN 25 MM (3/4"), PARA CIRCUITOS TERMINAIS, - FORNECIMENTO E INSTALAÇÃO. AF_12/2015</t>
  </si>
  <si>
    <t>QUADRO DE DISTRIBUIÇÃO DE ENERGIA EM PVC, DE EMBUTIR, SEM BARRAMENTO, PARA 6 DISJUNTORES - FORNECIMENTO E INSTALAÇÃO. AF_10/2020</t>
  </si>
  <si>
    <t>CABO DE COBRE FLEXÍVEL ISOLADO, 1,5 MM², ANTI-CHAMA 450/750 V, PARARCUITOS TERMINAIS - FORNECIMENTO E INSTALAÇÃO. AF_12/2015</t>
  </si>
  <si>
    <t>CABO DE COBRE FLEXÍVEL ISOLADO, 2,5 MM², ANTI-CHAMA 450/750 V, PARA CIRCUITOS TERMINAIS - FORNECIMENTO E INSTALAÇÃO. AF_12/2015</t>
  </si>
  <si>
    <t>DISJUNTOR MONOPOLAR TIPO DIN, CORRENTE NOMINAL DE 25A - FORNECIMENTO E INSTALAÇÃO. AF_10/2020</t>
  </si>
  <si>
    <t>DISJUNTOR MONOPOLAR TIPO DIN, CORRENTE NOMINAL DE 10A - FORNECIMENTO E INSTALAÇÃO. AF_10/2020</t>
  </si>
  <si>
    <t>TOMADA MÉDIA DE EMBUTIR (1 MÓDULO), 2P+T 10 AMP INCLUSO CAIXA, SUPORTE E PLACA</t>
  </si>
  <si>
    <t>INTERRUPTOR SIMPLES (1 MÓDULO) COM 1 TOMADA DE EMBUTIR 2P+T 10 AMP INCLUSO CAIXA, SUPORTE E PLACA</t>
  </si>
  <si>
    <t>LUMINÁRIA TIPO CALHA, DE SOBREPOR, COM 1 LÂMPADA LED</t>
  </si>
  <si>
    <t>CABO DE COBRE FLEXÍVEL ISOLADO, 16 MM², ANTI-CHAMA 450/750 V, PARA DISCABO DE COBRE FLEXÍVEL ISOLADO, 16 MM², ANTI-CHAMA 450/750 V, PARA DIS</t>
  </si>
  <si>
    <t>CABO DE COBRE FLEXÍVEL ISOLADO, 4 MM², ANTI-CHAMA 450/750 V, PARA CIRCUITOS TERMINAIS - FORNECIMENTO E INSTALAÇÃO. AF_12/2015</t>
  </si>
  <si>
    <t>ELETRODUTO FLEXÍVEL CORRUGADO, PEAD, DN 40 MM (1 1/4"), PARA CIRCUITOS ELETRODUTO FLEXÍVEL CORRUGADO, PEAD, DN 40 MM (1 1/4"), PARA CIRCUITOS</t>
  </si>
  <si>
    <t>INSTALAÇÃO DE TUBOS DE PVC, SOLDÁVEL, ÁGUA FRIA, DN 25 MM (INSTALADO EM RAMAL, SUB-RAMAL, RAMAL DE DISTRIBUIÇÃO OU PRUMADA), INCLUSIVE CONEXÕES, CORTES E FIXAÇÕES.</t>
  </si>
  <si>
    <t>CAIXA D´ÁGUA EM POLIETILENO, 500 LITROS - FORNECIMENTO E INSTALAÇÃO</t>
  </si>
  <si>
    <t>TE, PVC, SOLDÁVEL, DN 25MM, INSTALADO EM RAMAL OU SUB-RAMAL DE ÁGUA FORNECIMENTO E INSTALAÇÃO. AF_12/2014</t>
  </si>
  <si>
    <t>VASO SANITÁRIO SIFONADO COM CAIXA ACOPLADA LOUÇA BRANCA, INCLUSO ENGATE FLEXÍVEL EM PLÁSTICO BRANCO, 1/2 X 40CM - FORNECIMENTO E INSTALAÇÃO</t>
  </si>
  <si>
    <t>CHUVEIRO ELÉTRICO COMUM CORPO PLÁSTICO, TIPO DUCHA FORNECIMENTO E INSTALAÇÃO.</t>
  </si>
  <si>
    <t>LAVATÓRIO LOUÇA BRANCA COM COLUNA, *44 X 35,5* CM, PADRÃO POPULAR - FORNECIMENTO E INSTALAÇÃO. AF_01/2020</t>
  </si>
  <si>
    <t>REGISTRO DE PRESSÃO BRUTO, LATÃO, ROSCÁVEL, 1/2", FORNECIDO E INSTALADO EM RAMAL DE ÁGUA. AF_12/2014</t>
  </si>
  <si>
    <t>REGISTRO DE GAVETA BRUTO, LATÃO, ROSCÁVEL, 1/2", FORNECIDO E INSTALADO</t>
  </si>
  <si>
    <t>41,9 metros</t>
  </si>
  <si>
    <t>TUBO PVC, SERIE NORMAL, ESGOTO PREDIAL, DN 100 MM, FORNECIDO E INSTALADO</t>
  </si>
  <si>
    <t>TUBO PVC, SERIE NORMAL, ESGOTO PREDIAL, DN 50 MM, FORNECIDO E INSTALADO</t>
  </si>
  <si>
    <t>RALO SIFONADO, PVC, DN 100 X 40 MM, JUNTA SOLDÁVEL, FORNECIDO E INSTALADO</t>
  </si>
  <si>
    <t>M3</t>
  </si>
  <si>
    <t>ALVENARIA DE VEDAÇÃO DE BLOCOS VAZADOS DE CONCRETO DE 9X19X39CM (ESPESSURA 9CM) DE PAREDES COM ÁREA LÍQUIDA MAIOR OU IGUAL A 6M² SEM VÃOS EARGAMASSA DE ASSENTAMENTO COM PREPARO EM BETONEIRA. AF_06/2014</t>
  </si>
  <si>
    <t>ARMAÇÃO DE BLOCO, VIGA BALDRAME OU SAPATA UTILIZANDO AÇO CA-50 DE 10 MM - MONTAGEM. AF_06/2017</t>
  </si>
  <si>
    <t>ALVENARIA DE VEDAÇÃO COM ELEMENTO VAZADO DE CONCRETO (COBOGÓ) DE 7X50X50CM E ARGAMASSA DE ASSENTAMENTO COM PREPARO EM BETONEIRA. AF_05/2020</t>
  </si>
  <si>
    <t>FECHAMENTO PAREDES</t>
  </si>
  <si>
    <t>2</t>
  </si>
  <si>
    <t>3</t>
  </si>
  <si>
    <t>VESTIARIOS E BANHEIROS</t>
  </si>
  <si>
    <t>ALVENARIA DE VEDAÇÃO DE BLOCOS VAZADOS DE CONCRETO DE 14X19X39CM (ESPESSURA 14CM) DE PAREDES COM ÁREA LÍQUIDA MAIOR OU IGUAL A 6M² SEM VÃOS SSURA 14CM) DE PAREDES COM ÁREA LÍQUIDA MAIOR OU IGUAL A 6M² SEM VÃOS</t>
  </si>
  <si>
    <t>ARMAÇÃO DE PILAR OU VIGA DE UMA ESTRUTURA CONVENCIONAL DE CONCRETO ARMADO EM UMA EDIFICAÇÃO TÉRREA OU SOBRADO UTILIZANDO AÇO CA-50 DE 10,0 MM - MONTAGEM. AF_12/2015</t>
  </si>
  <si>
    <t>FORRO EM DRYWALL, PARA AMBIENTES COMERCIAIS, INCLUSIVE ESTRUTURA DE FIFORRO EM DRYWALL, PARA AMBIENTES COMERCIAIS, INCLUSIVE ESTRUTURA DE FI</t>
  </si>
  <si>
    <t>PISO CIMENTADO,ACABAMENTO POLIDO PARA PISO DE CONCRETO ARMADO DE ALTA RESISTÊNCIA.</t>
  </si>
  <si>
    <t>TRAMA DE MADEIRA COMPOSTA POR TERÇAS PARA TELHADOS DE ATÉ 2 ÁGUAS PARA TELHA ONDULADA DE FIBROCIMENTO, METÁLICA, PLÁSTICA OU TERMOACÚSTICA,INCLUSO TRANSPORTE VERTICAL. AF_07/2019</t>
  </si>
  <si>
    <t>LUMINÁRIA DE LED PARA ILUMINAÇÃO PÚBLICA, DE 181 W ATÉ 239 W - FORNECIMENTO E INSTALAÇÃO. AF_08/2020</t>
  </si>
  <si>
    <t>RUFO EXTERNO/INTERNO EM CHAPA DE AÇO GALVANIZADO NÚMERO 26, CORTE DE 3 3 CM, INCLUSO IÇAMENTO. AF_07/2019</t>
  </si>
  <si>
    <t>PORTA DE FERRO, DE ABRIR, TIPO GRADE COM CHAPA, COM GUARNIÇÕES.</t>
  </si>
  <si>
    <t>ESCAVAÇÃO MANUAL DE VALA COM PROFUNDIDADE MENOR OU IGUAL A 1,30 M</t>
  </si>
  <si>
    <t>FABRICAÇÃO, MONTAGEM E DESMONTAGEM DE FÔRMA , EM CHAPA DE MADEIRA COMPENSADA RESINADA, E=17 MM, 6 UTILIZAÇÕES. AF_06/2017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</si>
  <si>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</si>
  <si>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</si>
  <si>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</si>
  <si>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</si>
  <si>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</si>
  <si>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</si>
  <si>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</si>
  <si>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</si>
  <si>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</si>
  <si>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</si>
  <si>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</si>
  <si>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</si>
  <si>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</si>
  <si>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</si>
  <si>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</si>
  <si>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</si>
  <si>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</si>
  <si>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</si>
  <si>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</si>
  <si>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</si>
  <si>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</si>
  <si>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</si>
  <si>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</si>
  <si>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</si>
  <si>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</si>
  <si>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</si>
  <si>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</si>
  <si>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Divisória em placas de granilite com espessura de 4 cm</t>
  </si>
  <si>
    <t>Piso com requadro em concreto simples com controle fck = 25 Mpa (e=7 cm)</t>
  </si>
  <si>
    <t>Euclides da Cunha Paulista,  28 de Outubro de 2021</t>
  </si>
  <si>
    <t>Limpeza final da obra - LIMPEZA DE SUPERFÍCIE COM JATO DE ALTA PRESSÃO.</t>
  </si>
  <si>
    <t>3.10</t>
  </si>
  <si>
    <t>3.11</t>
  </si>
  <si>
    <t>3.12</t>
  </si>
  <si>
    <t>3.13</t>
  </si>
  <si>
    <t>3.14</t>
  </si>
  <si>
    <t>EQUIPAMENTOS E ELETRICA</t>
  </si>
  <si>
    <t>Purificador de pressão elétrico em chapa eletrozincado pré-pintada e tampo em aço inoxidável, tipo coluna, capacidade de refrigeração de 2 l/h - conjugado</t>
  </si>
  <si>
    <t>Poste de concreto circular, 200 kg, H = 7,00 m</t>
  </si>
  <si>
    <t>Luminária LED retangular para poste de 6250 até 6674 lm, eficiência mínima 113 lm/W</t>
  </si>
  <si>
    <t>IMPERMEABILIZAÇÃO DE SUPERFÍCIE COM EMULSÃO ASFÁLTICA, 2 DEMÃOS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</si>
  <si>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</si>
  <si>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</si>
  <si>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</si>
  <si>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</si>
  <si>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</si>
  <si>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</si>
  <si>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</si>
  <si>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</si>
  <si>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</si>
  <si>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3.15</t>
  </si>
  <si>
    <t>3.16</t>
  </si>
  <si>
    <t>3.17</t>
  </si>
  <si>
    <t>Edson Luiz da Silva</t>
  </si>
  <si>
    <t>CREA: 506.074.053-0</t>
  </si>
  <si>
    <t>09/2021</t>
  </si>
  <si>
    <t>GOVERNO DO ESTADO DE SÃO PAULO</t>
  </si>
  <si>
    <t>CRONOGRAMA FÍSICO - DESEMBOLSO E APLICAÇÃO DOS RECURSOS</t>
  </si>
  <si>
    <t>SECRETARIA DE DESENVOLVIMENTO REGIONAL</t>
  </si>
  <si>
    <t>MUNICÍPIO</t>
  </si>
  <si>
    <t>Subsecretaria de Convênios com Municípios e Entidades Não Governamentais</t>
  </si>
  <si>
    <t>EUCLIDES DA CUNHA PAULISTA</t>
  </si>
  <si>
    <t>OBRA:</t>
  </si>
  <si>
    <t>PRAZO PROPOSTO</t>
  </si>
  <si>
    <t xml:space="preserve">DATA BASE: </t>
  </si>
  <si>
    <t>REFORMA E AMPLIAÇÃO DA QUADRA POLIESPORTIVA</t>
  </si>
  <si>
    <t>INÍCIO: 30 dias da data da assinatura do convênio</t>
  </si>
  <si>
    <t>SINAPI SET/2021</t>
  </si>
  <si>
    <r>
      <t>FINAL: 720</t>
    </r>
    <r>
      <rPr>
        <sz val="10"/>
        <rFont val="Times New Roman"/>
        <family val="1"/>
      </rPr>
      <t xml:space="preserve"> </t>
    </r>
    <r>
      <rPr>
        <sz val="10"/>
        <color indexed="12"/>
        <rFont val="Times New Roman"/>
        <family val="1"/>
      </rPr>
      <t>dias a partir da data da assinatura do convênio</t>
    </r>
  </si>
  <si>
    <t>ITEM</t>
  </si>
  <si>
    <t>SERVIÇOS</t>
  </si>
  <si>
    <t>UNIDADE</t>
  </si>
  <si>
    <t xml:space="preserve">1a. ETAPA </t>
  </si>
  <si>
    <t xml:space="preserve">2a. ETAPA </t>
  </si>
  <si>
    <r>
      <t>PERÍODO:</t>
    </r>
    <r>
      <rPr>
        <b/>
        <sz val="12"/>
        <color indexed="12"/>
        <rFont val="Times New Roman"/>
        <family val="1"/>
      </rPr>
      <t xml:space="preserve"> </t>
    </r>
    <r>
      <rPr>
        <b/>
        <sz val="12"/>
        <rFont val="Times New Roman"/>
        <family val="1"/>
      </rPr>
      <t>360 dias</t>
    </r>
  </si>
  <si>
    <t>PERÍODO:  360 dias</t>
  </si>
  <si>
    <t xml:space="preserve"> </t>
  </si>
  <si>
    <r>
      <t xml:space="preserve">PRAZO DE LIBERAÇÃO:                       </t>
    </r>
    <r>
      <rPr>
        <sz val="8"/>
        <rFont val="Times New Roman"/>
        <family val="1"/>
      </rPr>
      <t>em até 30 dias após a ordem de início dos serviços.</t>
    </r>
  </si>
  <si>
    <r>
      <t xml:space="preserve">PRAZO DE EXECUÇÃO:                330 </t>
    </r>
    <r>
      <rPr>
        <sz val="8"/>
        <rFont val="Times New Roman"/>
        <family val="1"/>
      </rPr>
      <t>dias</t>
    </r>
  </si>
  <si>
    <r>
      <t xml:space="preserve">PRAZO DE LIBERAÇÃO:                       </t>
    </r>
    <r>
      <rPr>
        <sz val="8"/>
        <rFont val="Times New Roman"/>
        <family val="1"/>
      </rPr>
      <t>em até 30 dias após a conclusão da etapa.</t>
    </r>
  </si>
  <si>
    <t>REFORMA E AMPLIAÇÃO - QUADRA POLIESPORTIVA</t>
  </si>
  <si>
    <t>m2</t>
  </si>
  <si>
    <t>R$</t>
  </si>
  <si>
    <t>RECURSOS ESTADUAIS</t>
  </si>
  <si>
    <t>RECURSOS PRÓPRIOS</t>
  </si>
  <si>
    <t xml:space="preserve">T O T A L </t>
  </si>
  <si>
    <t>ASSINATURA: _______________________</t>
  </si>
  <si>
    <t>1206,29 m²</t>
  </si>
  <si>
    <t>RUA SANDRA CRISTINA DA SILVA,Nº 1.504 (ESQUINA COM AV. ANTONIO JOAQUIM MANO)</t>
  </si>
  <si>
    <t>'</t>
  </si>
  <si>
    <t xml:space="preserve">REFORMA DE QUADRA POLIESPORTIVA </t>
  </si>
  <si>
    <t>1.16</t>
  </si>
  <si>
    <r>
      <rPr>
        <b/>
        <sz val="11"/>
        <rFont val="Arial"/>
        <family val="2"/>
      </rPr>
      <t>Encargos Sociais</t>
    </r>
    <r>
      <rPr>
        <sz val="11"/>
        <rFont val="Arial"/>
        <family val="2"/>
      </rPr>
      <t>: SINAPI JUN/21 - CDHU</t>
    </r>
  </si>
  <si>
    <t>SINAPI   SET 2021</t>
  </si>
  <si>
    <t>CDHU 1430860</t>
  </si>
  <si>
    <t>CDHU 4301032</t>
  </si>
  <si>
    <t>CDHU 6801600</t>
  </si>
  <si>
    <t>CDHU 4111721</t>
  </si>
  <si>
    <t>Placa de identificação para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</si>
</sst>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mmm\-\y\y"/>
    <numFmt numFmtId="166" formatCode="_(&quot;R$ &quot;* #,##0.00_);_(&quot;R$ &quot;* \(#,##0.00\);_(&quot;R$ &quot;* &quot;-&quot;??_);_(@_)"/>
    <numFmt numFmtId="167" formatCode="[$-416]mmmm\-yy;@"/>
  </numFmts>
  <fonts count="4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u/>
      <sz val="16"/>
      <name val="Arial"/>
      <family val="2"/>
    </font>
    <font>
      <b/>
      <u/>
      <sz val="10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2"/>
      <name val="Technical"/>
    </font>
    <font>
      <sz val="12"/>
      <color indexed="8"/>
      <name val="Arial"/>
      <family val="2"/>
    </font>
    <font>
      <sz val="10"/>
      <name val="MS Sans Serif"/>
    </font>
    <font>
      <b/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name val="Georgia"/>
      <family val="1"/>
    </font>
    <font>
      <b/>
      <sz val="12"/>
      <name val="MS Sans Serif"/>
      <family val="2"/>
    </font>
    <font>
      <b/>
      <sz val="10"/>
      <name val="Times New Roman"/>
      <family val="1"/>
    </font>
    <font>
      <b/>
      <sz val="14"/>
      <color indexed="12"/>
      <name val="Times New Roman"/>
      <family val="1"/>
    </font>
    <font>
      <sz val="10"/>
      <color indexed="12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b/>
      <sz val="13"/>
      <color indexed="12"/>
      <name val="Times New Roman"/>
      <family val="1"/>
    </font>
    <font>
      <sz val="8.5"/>
      <name val="Times New Roman"/>
      <family val="1"/>
    </font>
    <font>
      <sz val="12"/>
      <color indexed="12"/>
      <name val="Times New Roman"/>
      <family val="1"/>
    </font>
    <font>
      <b/>
      <sz val="12"/>
      <color indexed="56"/>
      <name val="Times New Roman"/>
      <family val="1"/>
    </font>
    <font>
      <b/>
      <sz val="12"/>
      <color indexed="12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sz val="14"/>
      <name val="Arial Narrow"/>
      <family val="2"/>
    </font>
    <font>
      <sz val="11"/>
      <name val="BaskervilleT"/>
    </font>
    <font>
      <sz val="11"/>
      <name val="MS Sans Serif"/>
      <family val="2"/>
    </font>
    <font>
      <b/>
      <sz val="10"/>
      <color indexed="56"/>
      <name val="Times New Roman"/>
      <family val="1"/>
    </font>
    <font>
      <sz val="12"/>
      <color indexed="10"/>
      <name val="Times New Roman"/>
      <family val="1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/>
    <xf numFmtId="0" fontId="1" fillId="0" borderId="0"/>
    <xf numFmtId="166" fontId="1" fillId="0" borderId="0" applyFont="0" applyFill="0" applyBorder="0" applyAlignment="0" applyProtection="0"/>
    <xf numFmtId="0" fontId="18" fillId="0" borderId="0"/>
  </cellStyleXfs>
  <cellXfs count="255">
    <xf numFmtId="0" fontId="0" fillId="0" borderId="0" xfId="0"/>
    <xf numFmtId="0" fontId="2" fillId="2" borderId="4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1" fillId="0" borderId="0" xfId="1"/>
    <xf numFmtId="0" fontId="9" fillId="0" borderId="0" xfId="1" applyFont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4" fontId="2" fillId="0" borderId="0" xfId="91" applyNumberFormat="1" applyFont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4" fontId="2" fillId="0" borderId="0" xfId="1" applyNumberFormat="1" applyFont="1" applyFill="1" applyBorder="1" applyAlignment="1">
      <alignment horizontal="right" vertical="center"/>
    </xf>
    <xf numFmtId="4" fontId="13" fillId="5" borderId="5" xfId="1" applyNumberFormat="1" applyFont="1" applyFill="1" applyBorder="1" applyAlignment="1">
      <alignment horizontal="left" vertical="center"/>
    </xf>
    <xf numFmtId="0" fontId="2" fillId="5" borderId="6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vertical="center"/>
    </xf>
    <xf numFmtId="4" fontId="2" fillId="5" borderId="7" xfId="1" applyNumberFormat="1" applyFont="1" applyFill="1" applyBorder="1" applyAlignment="1">
      <alignment horizontal="right" vertical="center"/>
    </xf>
    <xf numFmtId="4" fontId="14" fillId="0" borderId="0" xfId="1" applyNumberFormat="1" applyFont="1" applyFill="1" applyBorder="1" applyAlignment="1">
      <alignment horizontal="left" vertical="center"/>
    </xf>
    <xf numFmtId="4" fontId="13" fillId="5" borderId="8" xfId="1" applyNumberFormat="1" applyFont="1" applyFill="1" applyBorder="1" applyAlignment="1">
      <alignment horizontal="left" vertical="center"/>
    </xf>
    <xf numFmtId="4" fontId="14" fillId="5" borderId="0" xfId="1" applyNumberFormat="1" applyFont="1" applyFill="1" applyBorder="1" applyAlignment="1">
      <alignment horizontal="left" vertical="center"/>
    </xf>
    <xf numFmtId="0" fontId="2" fillId="5" borderId="0" xfId="1" applyFont="1" applyFill="1" applyBorder="1" applyAlignment="1">
      <alignment horizontal="center" vertical="center"/>
    </xf>
    <xf numFmtId="0" fontId="9" fillId="5" borderId="0" xfId="1" applyFont="1" applyFill="1" applyBorder="1" applyAlignment="1">
      <alignment vertical="center"/>
    </xf>
    <xf numFmtId="165" fontId="14" fillId="5" borderId="0" xfId="1" applyNumberFormat="1" applyFont="1" applyFill="1" applyBorder="1" applyAlignment="1">
      <alignment horizontal="left" vertical="center"/>
    </xf>
    <xf numFmtId="4" fontId="2" fillId="5" borderId="9" xfId="1" applyNumberFormat="1" applyFont="1" applyFill="1" applyBorder="1" applyAlignment="1">
      <alignment horizontal="right" vertical="center"/>
    </xf>
    <xf numFmtId="165" fontId="14" fillId="0" borderId="0" xfId="1" applyNumberFormat="1" applyFont="1" applyFill="1" applyBorder="1" applyAlignment="1">
      <alignment horizontal="left" vertical="center"/>
    </xf>
    <xf numFmtId="10" fontId="3" fillId="6" borderId="0" xfId="1" applyNumberFormat="1" applyFont="1" applyFill="1" applyBorder="1" applyAlignment="1">
      <alignment horizontal="left" vertical="center"/>
    </xf>
    <xf numFmtId="0" fontId="15" fillId="5" borderId="0" xfId="1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vertical="center"/>
    </xf>
    <xf numFmtId="165" fontId="15" fillId="0" borderId="0" xfId="1" applyNumberFormat="1" applyFont="1" applyFill="1" applyBorder="1" applyAlignment="1">
      <alignment horizontal="right" vertical="center"/>
    </xf>
    <xf numFmtId="4" fontId="13" fillId="5" borderId="10" xfId="1" applyNumberFormat="1" applyFont="1" applyFill="1" applyBorder="1" applyAlignment="1">
      <alignment horizontal="left" vertical="center"/>
    </xf>
    <xf numFmtId="165" fontId="14" fillId="5" borderId="11" xfId="1" applyNumberFormat="1" applyFont="1" applyFill="1" applyBorder="1" applyAlignment="1">
      <alignment horizontal="left" vertical="center"/>
    </xf>
    <xf numFmtId="0" fontId="2" fillId="5" borderId="11" xfId="1" applyFont="1" applyFill="1" applyBorder="1" applyAlignment="1">
      <alignment horizontal="center" vertical="center"/>
    </xf>
    <xf numFmtId="165" fontId="15" fillId="5" borderId="11" xfId="1" applyNumberFormat="1" applyFont="1" applyFill="1" applyBorder="1" applyAlignment="1">
      <alignment horizontal="right" vertical="center"/>
    </xf>
    <xf numFmtId="10" fontId="3" fillId="5" borderId="12" xfId="1" applyNumberFormat="1" applyFont="1" applyFill="1" applyBorder="1" applyAlignment="1">
      <alignment horizontal="left" vertical="center"/>
    </xf>
    <xf numFmtId="4" fontId="13" fillId="0" borderId="3" xfId="1" applyNumberFormat="1" applyFont="1" applyFill="1" applyBorder="1" applyAlignment="1">
      <alignment horizontal="left" vertical="center"/>
    </xf>
    <xf numFmtId="165" fontId="14" fillId="0" borderId="3" xfId="1" applyNumberFormat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4" fontId="2" fillId="0" borderId="3" xfId="91" applyNumberFormat="1" applyFont="1" applyFill="1" applyBorder="1" applyAlignment="1">
      <alignment horizontal="right" vertical="center"/>
    </xf>
    <xf numFmtId="4" fontId="2" fillId="0" borderId="3" xfId="1" applyNumberFormat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4" fontId="13" fillId="5" borderId="17" xfId="1" applyNumberFormat="1" applyFont="1" applyFill="1" applyBorder="1" applyAlignment="1">
      <alignment horizontal="left" vertical="center"/>
    </xf>
    <xf numFmtId="49" fontId="14" fillId="5" borderId="3" xfId="1" applyNumberFormat="1" applyFont="1" applyFill="1" applyBorder="1" applyAlignment="1">
      <alignment horizontal="left" vertical="center"/>
    </xf>
    <xf numFmtId="0" fontId="2" fillId="5" borderId="3" xfId="1" applyFont="1" applyFill="1" applyBorder="1" applyAlignment="1">
      <alignment horizontal="center" vertical="center"/>
    </xf>
    <xf numFmtId="4" fontId="2" fillId="5" borderId="3" xfId="91" applyNumberFormat="1" applyFont="1" applyFill="1" applyBorder="1" applyAlignment="1">
      <alignment horizontal="right" vertical="center"/>
    </xf>
    <xf numFmtId="4" fontId="13" fillId="5" borderId="3" xfId="1" applyNumberFormat="1" applyFont="1" applyFill="1" applyBorder="1" applyAlignment="1">
      <alignment horizontal="right" vertical="center"/>
    </xf>
    <xf numFmtId="49" fontId="14" fillId="5" borderId="2" xfId="1" applyNumberFormat="1" applyFont="1" applyFill="1" applyBorder="1" applyAlignment="1">
      <alignment horizontal="right" vertical="center"/>
    </xf>
    <xf numFmtId="4" fontId="13" fillId="0" borderId="0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0" fontId="7" fillId="0" borderId="0" xfId="92" applyNumberFormat="1" applyFont="1" applyFill="1" applyBorder="1" applyAlignment="1">
      <alignment horizontal="right"/>
    </xf>
    <xf numFmtId="0" fontId="7" fillId="0" borderId="0" xfId="92" applyFont="1" applyBorder="1" applyAlignment="1">
      <alignment vertical="center"/>
    </xf>
    <xf numFmtId="4" fontId="7" fillId="0" borderId="0" xfId="92" applyNumberFormat="1" applyFont="1" applyFill="1" applyBorder="1" applyAlignment="1">
      <alignment horizontal="right" vertical="top"/>
    </xf>
    <xf numFmtId="0" fontId="7" fillId="0" borderId="0" xfId="92" applyFont="1" applyFill="1" applyBorder="1" applyAlignment="1">
      <alignment vertical="center"/>
    </xf>
    <xf numFmtId="0" fontId="1" fillId="0" borderId="0" xfId="1" applyFill="1"/>
    <xf numFmtId="2" fontId="7" fillId="0" borderId="0" xfId="1" applyNumberFormat="1" applyFont="1" applyBorder="1" applyAlignment="1">
      <alignment vertical="center"/>
    </xf>
    <xf numFmtId="0" fontId="7" fillId="0" borderId="0" xfId="1" applyFont="1" applyFill="1" applyBorder="1" applyAlignment="1">
      <alignment vertical="top"/>
    </xf>
    <xf numFmtId="0" fontId="7" fillId="0" borderId="0" xfId="1" applyFont="1" applyFill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top"/>
    </xf>
    <xf numFmtId="0" fontId="7" fillId="0" borderId="0" xfId="1" applyFont="1" applyBorder="1" applyAlignment="1">
      <alignment vertical="top"/>
    </xf>
    <xf numFmtId="0" fontId="7" fillId="0" borderId="0" xfId="1" applyFont="1" applyFill="1" applyBorder="1" applyAlignment="1" applyProtection="1">
      <alignment vertical="top"/>
    </xf>
    <xf numFmtId="0" fontId="7" fillId="0" borderId="0" xfId="1" applyFont="1" applyFill="1" applyBorder="1" applyAlignment="1" applyProtection="1">
      <alignment horizontal="left"/>
      <protection locked="0"/>
    </xf>
    <xf numFmtId="43" fontId="7" fillId="0" borderId="0" xfId="1" applyNumberFormat="1" applyFont="1" applyAlignment="1">
      <alignment vertical="center"/>
    </xf>
    <xf numFmtId="4" fontId="13" fillId="5" borderId="6" xfId="1" applyNumberFormat="1" applyFont="1" applyFill="1" applyBorder="1" applyAlignment="1">
      <alignment horizontal="left" vertical="center"/>
    </xf>
    <xf numFmtId="4" fontId="13" fillId="5" borderId="0" xfId="1" applyNumberFormat="1" applyFont="1" applyFill="1" applyBorder="1" applyAlignment="1">
      <alignment horizontal="left" vertical="center"/>
    </xf>
    <xf numFmtId="4" fontId="13" fillId="5" borderId="11" xfId="1" applyNumberFormat="1" applyFont="1" applyFill="1" applyBorder="1" applyAlignment="1">
      <alignment horizontal="left" vertical="center"/>
    </xf>
    <xf numFmtId="4" fontId="13" fillId="5" borderId="3" xfId="1" applyNumberFormat="1" applyFont="1" applyFill="1" applyBorder="1" applyAlignment="1">
      <alignment horizontal="left" vertical="center"/>
    </xf>
    <xf numFmtId="49" fontId="3" fillId="3" borderId="1" xfId="92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vertical="center"/>
    </xf>
    <xf numFmtId="0" fontId="7" fillId="0" borderId="4" xfId="1" applyFont="1" applyFill="1" applyBorder="1" applyAlignment="1">
      <alignment vertical="top"/>
    </xf>
    <xf numFmtId="166" fontId="14" fillId="0" borderId="4" xfId="94" applyFont="1" applyFill="1" applyBorder="1" applyAlignment="1">
      <alignment horizontal="center" vertical="center"/>
    </xf>
    <xf numFmtId="0" fontId="2" fillId="3" borderId="1" xfId="93" applyFont="1" applyFill="1" applyBorder="1" applyAlignment="1">
      <alignment vertical="center" wrapText="1"/>
    </xf>
    <xf numFmtId="0" fontId="0" fillId="0" borderId="0" xfId="0" applyAlignment="1">
      <alignment horizontal="center"/>
    </xf>
    <xf numFmtId="4" fontId="9" fillId="0" borderId="25" xfId="92" applyNumberFormat="1" applyFont="1" applyFill="1" applyBorder="1" applyAlignment="1">
      <alignment horizontal="center" vertical="center" wrapText="1"/>
    </xf>
    <xf numFmtId="4" fontId="9" fillId="0" borderId="29" xfId="92" applyNumberFormat="1" applyFont="1" applyFill="1" applyBorder="1" applyAlignment="1">
      <alignment horizontal="center" vertical="center" wrapText="1"/>
    </xf>
    <xf numFmtId="4" fontId="2" fillId="0" borderId="30" xfId="92" applyNumberFormat="1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164" fontId="9" fillId="2" borderId="4" xfId="2" applyFont="1" applyFill="1" applyBorder="1" applyAlignment="1">
      <alignment horizontal="center" vertical="center" wrapText="1"/>
    </xf>
    <xf numFmtId="4" fontId="9" fillId="0" borderId="4" xfId="92" applyNumberFormat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164" fontId="9" fillId="2" borderId="4" xfId="2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" fillId="0" borderId="31" xfId="92" applyNumberFormat="1" applyFont="1" applyFill="1" applyBorder="1" applyAlignment="1">
      <alignment horizontal="center" vertical="center" wrapText="1"/>
    </xf>
    <xf numFmtId="4" fontId="9" fillId="0" borderId="31" xfId="92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164" fontId="9" fillId="2" borderId="13" xfId="2" applyFont="1" applyFill="1" applyBorder="1" applyAlignment="1">
      <alignment horizontal="center" vertical="center" wrapText="1"/>
    </xf>
    <xf numFmtId="4" fontId="9" fillId="0" borderId="13" xfId="92" applyNumberFormat="1" applyFont="1" applyFill="1" applyBorder="1" applyAlignment="1">
      <alignment horizontal="center" vertical="center" wrapText="1"/>
    </xf>
    <xf numFmtId="4" fontId="9" fillId="0" borderId="13" xfId="92" applyNumberFormat="1" applyFont="1" applyFill="1" applyBorder="1" applyAlignment="1">
      <alignment horizontal="center" vertical="center"/>
    </xf>
    <xf numFmtId="49" fontId="3" fillId="3" borderId="17" xfId="92" applyNumberFormat="1" applyFont="1" applyFill="1" applyBorder="1" applyAlignment="1">
      <alignment horizontal="center" vertical="center" wrapText="1"/>
    </xf>
    <xf numFmtId="0" fontId="3" fillId="3" borderId="3" xfId="92" applyFont="1" applyFill="1" applyBorder="1" applyAlignment="1">
      <alignment horizontal="center" vertical="center" wrapText="1"/>
    </xf>
    <xf numFmtId="0" fontId="2" fillId="3" borderId="3" xfId="93" applyFont="1" applyFill="1" applyBorder="1" applyAlignment="1">
      <alignment vertical="center" wrapText="1"/>
    </xf>
    <xf numFmtId="4" fontId="3" fillId="3" borderId="2" xfId="92" applyNumberFormat="1" applyFont="1" applyFill="1" applyBorder="1" applyAlignment="1">
      <alignment horizontal="center" vertical="center" wrapText="1"/>
    </xf>
    <xf numFmtId="0" fontId="1" fillId="7" borderId="0" xfId="1" applyFill="1"/>
    <xf numFmtId="4" fontId="2" fillId="7" borderId="31" xfId="92" applyNumberFormat="1" applyFont="1" applyFill="1" applyBorder="1" applyAlignment="1">
      <alignment horizontal="center" vertical="center" wrapText="1"/>
    </xf>
    <xf numFmtId="4" fontId="7" fillId="7" borderId="0" xfId="92" applyNumberFormat="1" applyFont="1" applyFill="1" applyBorder="1" applyAlignment="1">
      <alignment horizontal="right" vertical="top"/>
    </xf>
    <xf numFmtId="0" fontId="7" fillId="7" borderId="0" xfId="92" applyFont="1" applyFill="1" applyBorder="1" applyAlignment="1">
      <alignment vertical="center"/>
    </xf>
    <xf numFmtId="0" fontId="1" fillId="7" borderId="4" xfId="1" applyFill="1" applyBorder="1"/>
    <xf numFmtId="0" fontId="17" fillId="2" borderId="4" xfId="1" applyFont="1" applyFill="1" applyBorder="1" applyAlignment="1">
      <alignment horizontal="center" vertical="center" wrapText="1"/>
    </xf>
    <xf numFmtId="4" fontId="9" fillId="2" borderId="4" xfId="92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4" fontId="2" fillId="0" borderId="0" xfId="92" applyNumberFormat="1" applyFont="1" applyFill="1" applyBorder="1" applyAlignment="1">
      <alignment horizontal="center" vertical="center" wrapText="1"/>
    </xf>
    <xf numFmtId="0" fontId="7" fillId="5" borderId="11" xfId="1" applyFont="1" applyFill="1" applyBorder="1" applyAlignment="1">
      <alignment vertical="center"/>
    </xf>
    <xf numFmtId="0" fontId="19" fillId="0" borderId="0" xfId="95" applyFont="1"/>
    <xf numFmtId="0" fontId="20" fillId="0" borderId="0" xfId="95" applyFont="1"/>
    <xf numFmtId="0" fontId="21" fillId="0" borderId="0" xfId="95" applyFont="1"/>
    <xf numFmtId="0" fontId="22" fillId="0" borderId="0" xfId="95" applyFont="1"/>
    <xf numFmtId="0" fontId="22" fillId="0" borderId="0" xfId="95" applyFont="1" applyAlignment="1">
      <alignment horizontal="center"/>
    </xf>
    <xf numFmtId="0" fontId="25" fillId="0" borderId="0" xfId="95" applyFont="1" applyBorder="1" applyAlignment="1">
      <alignment horizontal="center"/>
    </xf>
    <xf numFmtId="0" fontId="25" fillId="0" borderId="0" xfId="95" applyFont="1" applyBorder="1" applyAlignment="1">
      <alignment horizontal="centerContinuous"/>
    </xf>
    <xf numFmtId="167" fontId="27" fillId="0" borderId="0" xfId="95" applyNumberFormat="1" applyFont="1" applyBorder="1" applyAlignment="1">
      <alignment horizontal="center"/>
    </xf>
    <xf numFmtId="0" fontId="28" fillId="0" borderId="0" xfId="95" applyFont="1"/>
    <xf numFmtId="0" fontId="29" fillId="0" borderId="21" xfId="95" applyFont="1" applyBorder="1"/>
    <xf numFmtId="0" fontId="22" fillId="0" borderId="23" xfId="95" applyFont="1" applyBorder="1"/>
    <xf numFmtId="0" fontId="22" fillId="0" borderId="23" xfId="95" applyFont="1" applyBorder="1" applyAlignment="1">
      <alignment horizontal="center"/>
    </xf>
    <xf numFmtId="0" fontId="22" fillId="0" borderId="24" xfId="95" applyFont="1" applyBorder="1" applyAlignment="1">
      <alignment horizontal="center"/>
    </xf>
    <xf numFmtId="0" fontId="22" fillId="0" borderId="0" xfId="95" applyFont="1" applyBorder="1" applyAlignment="1">
      <alignment horizontal="center"/>
    </xf>
    <xf numFmtId="0" fontId="25" fillId="0" borderId="14" xfId="95" applyFont="1" applyBorder="1" applyAlignment="1">
      <alignment horizontal="left"/>
    </xf>
    <xf numFmtId="0" fontId="22" fillId="0" borderId="15" xfId="95" applyFont="1" applyBorder="1"/>
    <xf numFmtId="0" fontId="22" fillId="0" borderId="26" xfId="95" applyFont="1" applyBorder="1"/>
    <xf numFmtId="0" fontId="25" fillId="0" borderId="20" xfId="95" applyFont="1" applyBorder="1" applyAlignment="1">
      <alignment horizontal="center"/>
    </xf>
    <xf numFmtId="0" fontId="22" fillId="0" borderId="18" xfId="95" applyFont="1" applyBorder="1"/>
    <xf numFmtId="0" fontId="22" fillId="0" borderId="0" xfId="95" applyFont="1" applyBorder="1"/>
    <xf numFmtId="0" fontId="27" fillId="0" borderId="14" xfId="95" applyFont="1" applyBorder="1" applyAlignment="1"/>
    <xf numFmtId="0" fontId="31" fillId="0" borderId="15" xfId="95" applyFont="1" applyBorder="1"/>
    <xf numFmtId="0" fontId="31" fillId="0" borderId="26" xfId="95" applyFont="1" applyBorder="1"/>
    <xf numFmtId="167" fontId="27" fillId="0" borderId="13" xfId="95" applyNumberFormat="1" applyFont="1" applyBorder="1" applyAlignment="1">
      <alignment horizontal="center"/>
    </xf>
    <xf numFmtId="0" fontId="29" fillId="0" borderId="0" xfId="95" applyFont="1" applyBorder="1"/>
    <xf numFmtId="0" fontId="27" fillId="0" borderId="18" xfId="95" applyFont="1" applyBorder="1"/>
    <xf numFmtId="0" fontId="31" fillId="0" borderId="19" xfId="95" applyFont="1" applyBorder="1"/>
    <xf numFmtId="0" fontId="31" fillId="0" borderId="0" xfId="95" applyFont="1" applyBorder="1"/>
    <xf numFmtId="0" fontId="22" fillId="0" borderId="21" xfId="95" applyFont="1" applyBorder="1" applyAlignment="1">
      <alignment horizontal="center"/>
    </xf>
    <xf numFmtId="0" fontId="32" fillId="0" borderId="20" xfId="95" applyFont="1" applyBorder="1" applyAlignment="1">
      <alignment horizontal="center"/>
    </xf>
    <xf numFmtId="0" fontId="27" fillId="0" borderId="24" xfId="95" applyFont="1" applyBorder="1" applyAlignment="1">
      <alignment horizontal="center"/>
    </xf>
    <xf numFmtId="0" fontId="33" fillId="0" borderId="14" xfId="95" applyFont="1" applyBorder="1" applyAlignment="1">
      <alignment horizontal="centerContinuous"/>
    </xf>
    <xf numFmtId="0" fontId="20" fillId="0" borderId="21" xfId="95" applyFont="1" applyBorder="1" applyAlignment="1">
      <alignment horizontal="centerContinuous"/>
    </xf>
    <xf numFmtId="0" fontId="20" fillId="0" borderId="16" xfId="95" applyFont="1" applyBorder="1" applyAlignment="1">
      <alignment horizontal="centerContinuous"/>
    </xf>
    <xf numFmtId="4" fontId="20" fillId="0" borderId="20" xfId="95" applyNumberFormat="1" applyFont="1" applyBorder="1" applyAlignment="1">
      <alignment horizontal="center"/>
    </xf>
    <xf numFmtId="0" fontId="22" fillId="0" borderId="26" xfId="95" applyFont="1" applyBorder="1" applyAlignment="1">
      <alignment horizontal="center"/>
    </xf>
    <xf numFmtId="0" fontId="20" fillId="0" borderId="32" xfId="95" applyFont="1" applyBorder="1" applyAlignment="1">
      <alignment horizontal="center"/>
    </xf>
    <xf numFmtId="0" fontId="20" fillId="0" borderId="33" xfId="95" applyFont="1" applyBorder="1" applyAlignment="1">
      <alignment horizontal="center"/>
    </xf>
    <xf numFmtId="4" fontId="28" fillId="0" borderId="20" xfId="95" applyNumberFormat="1" applyFont="1" applyBorder="1" applyAlignment="1">
      <alignment horizontal="center"/>
    </xf>
    <xf numFmtId="0" fontId="22" fillId="0" borderId="18" xfId="95" applyFont="1" applyBorder="1" applyAlignment="1"/>
    <xf numFmtId="0" fontId="20" fillId="0" borderId="13" xfId="95" applyFont="1" applyBorder="1" applyAlignment="1">
      <alignment horizontal="center"/>
    </xf>
    <xf numFmtId="0" fontId="20" fillId="0" borderId="22" xfId="95" applyFont="1" applyBorder="1" applyAlignment="1">
      <alignment horizontal="center"/>
    </xf>
    <xf numFmtId="0" fontId="35" fillId="0" borderId="16" xfId="95" applyFont="1" applyBorder="1" applyAlignment="1">
      <alignment horizontal="center" vertical="top" wrapText="1"/>
    </xf>
    <xf numFmtId="0" fontId="35" fillId="0" borderId="22" xfId="95" applyFont="1" applyBorder="1" applyAlignment="1">
      <alignment horizontal="center" vertical="top" wrapText="1"/>
    </xf>
    <xf numFmtId="4" fontId="20" fillId="8" borderId="33" xfId="95" applyNumberFormat="1" applyFont="1" applyFill="1" applyBorder="1" applyAlignment="1">
      <alignment horizontal="center"/>
    </xf>
    <xf numFmtId="0" fontId="27" fillId="0" borderId="32" xfId="95" applyFont="1" applyBorder="1" applyAlignment="1">
      <alignment vertical="top"/>
    </xf>
    <xf numFmtId="0" fontId="20" fillId="0" borderId="34" xfId="95" applyFont="1" applyBorder="1" applyAlignment="1">
      <alignment horizontal="center"/>
    </xf>
    <xf numFmtId="4" fontId="20" fillId="0" borderId="36" xfId="95" applyNumberFormat="1" applyFont="1" applyBorder="1" applyAlignment="1">
      <alignment horizontal="center"/>
    </xf>
    <xf numFmtId="0" fontId="37" fillId="0" borderId="13" xfId="95" applyFont="1" applyBorder="1" applyAlignment="1">
      <alignment vertical="top"/>
    </xf>
    <xf numFmtId="0" fontId="34" fillId="0" borderId="22" xfId="95" applyFont="1" applyBorder="1" applyAlignment="1">
      <alignment horizontal="center"/>
    </xf>
    <xf numFmtId="4" fontId="32" fillId="0" borderId="36" xfId="95" applyNumberFormat="1" applyFont="1" applyBorder="1" applyAlignment="1">
      <alignment horizontal="center"/>
    </xf>
    <xf numFmtId="0" fontId="28" fillId="0" borderId="20" xfId="95" applyFont="1" applyBorder="1" applyAlignment="1">
      <alignment vertical="top" wrapText="1"/>
    </xf>
    <xf numFmtId="0" fontId="37" fillId="0" borderId="13" xfId="95" applyFont="1" applyBorder="1" applyAlignment="1">
      <alignment horizontal="right" vertical="top"/>
    </xf>
    <xf numFmtId="0" fontId="28" fillId="0" borderId="13" xfId="95" applyFont="1" applyBorder="1" applyAlignment="1">
      <alignment vertical="top"/>
    </xf>
    <xf numFmtId="0" fontId="28" fillId="0" borderId="20" xfId="95" applyFont="1" applyBorder="1" applyAlignment="1">
      <alignment vertical="top"/>
    </xf>
    <xf numFmtId="0" fontId="22" fillId="0" borderId="13" xfId="95" applyFont="1" applyBorder="1" applyAlignment="1">
      <alignment horizontal="right" vertical="top"/>
    </xf>
    <xf numFmtId="0" fontId="20" fillId="0" borderId="13" xfId="95" applyFont="1" applyBorder="1" applyAlignment="1">
      <alignment vertical="top"/>
    </xf>
    <xf numFmtId="0" fontId="25" fillId="8" borderId="17" xfId="95" applyFont="1" applyFill="1" applyBorder="1" applyAlignment="1">
      <alignment horizontal="left" vertical="center"/>
    </xf>
    <xf numFmtId="0" fontId="20" fillId="8" borderId="3" xfId="95" applyFont="1" applyFill="1" applyBorder="1"/>
    <xf numFmtId="0" fontId="28" fillId="8" borderId="2" xfId="95" applyFont="1" applyFill="1" applyBorder="1" applyAlignment="1">
      <alignment horizontal="center"/>
    </xf>
    <xf numFmtId="4" fontId="20" fillId="8" borderId="19" xfId="95" applyNumberFormat="1" applyFont="1" applyFill="1" applyBorder="1" applyAlignment="1">
      <alignment horizontal="center"/>
    </xf>
    <xf numFmtId="4" fontId="20" fillId="8" borderId="14" xfId="95" applyNumberFormat="1" applyFont="1" applyFill="1" applyBorder="1" applyAlignment="1"/>
    <xf numFmtId="4" fontId="20" fillId="8" borderId="22" xfId="95" applyNumberFormat="1" applyFont="1" applyFill="1" applyBorder="1" applyAlignment="1"/>
    <xf numFmtId="4" fontId="20" fillId="8" borderId="22" xfId="95" applyNumberFormat="1" applyFont="1" applyFill="1" applyBorder="1" applyAlignment="1">
      <alignment horizontal="center"/>
    </xf>
    <xf numFmtId="0" fontId="34" fillId="0" borderId="18" xfId="95" applyFont="1" applyBorder="1" applyAlignment="1">
      <alignment horizontal="left"/>
    </xf>
    <xf numFmtId="0" fontId="28" fillId="0" borderId="19" xfId="95" applyFont="1" applyBorder="1" applyAlignment="1">
      <alignment horizontal="left"/>
    </xf>
    <xf numFmtId="0" fontId="28" fillId="0" borderId="22" xfId="95" applyFont="1" applyBorder="1" applyAlignment="1">
      <alignment horizontal="center"/>
    </xf>
    <xf numFmtId="4" fontId="34" fillId="0" borderId="16" xfId="95" applyNumberFormat="1" applyFont="1" applyBorder="1" applyAlignment="1">
      <alignment horizontal="center"/>
    </xf>
    <xf numFmtId="0" fontId="28" fillId="0" borderId="18" xfId="95" applyFont="1" applyBorder="1" applyAlignment="1">
      <alignment horizontal="left"/>
    </xf>
    <xf numFmtId="4" fontId="28" fillId="0" borderId="16" xfId="95" applyNumberFormat="1" applyFont="1" applyBorder="1" applyAlignment="1">
      <alignment horizontal="center"/>
    </xf>
    <xf numFmtId="0" fontId="38" fillId="0" borderId="19" xfId="95" applyFont="1" applyBorder="1" applyAlignment="1">
      <alignment horizontal="left"/>
    </xf>
    <xf numFmtId="0" fontId="38" fillId="0" borderId="22" xfId="95" applyFont="1" applyBorder="1" applyAlignment="1">
      <alignment horizontal="center"/>
    </xf>
    <xf numFmtId="0" fontId="39" fillId="0" borderId="0" xfId="95" applyFont="1"/>
    <xf numFmtId="0" fontId="37" fillId="0" borderId="0" xfId="95" applyFont="1" applyBorder="1" applyAlignment="1">
      <alignment horizontal="left"/>
    </xf>
    <xf numFmtId="0" fontId="38" fillId="0" borderId="0" xfId="95" applyFont="1" applyBorder="1" applyAlignment="1">
      <alignment horizontal="left"/>
    </xf>
    <xf numFmtId="0" fontId="38" fillId="0" borderId="0" xfId="95" applyFont="1" applyBorder="1" applyAlignment="1">
      <alignment horizontal="center"/>
    </xf>
    <xf numFmtId="4" fontId="34" fillId="0" borderId="0" xfId="95" applyNumberFormat="1" applyFont="1" applyBorder="1" applyAlignment="1">
      <alignment horizontal="center"/>
    </xf>
    <xf numFmtId="4" fontId="38" fillId="0" borderId="0" xfId="95" applyNumberFormat="1" applyFont="1" applyBorder="1" applyAlignment="1">
      <alignment horizontal="center"/>
    </xf>
    <xf numFmtId="0" fontId="40" fillId="0" borderId="0" xfId="95" applyFont="1"/>
    <xf numFmtId="0" fontId="20" fillId="0" borderId="0" xfId="95" applyFont="1" applyAlignment="1">
      <alignment horizontal="center"/>
    </xf>
    <xf numFmtId="0" fontId="41" fillId="0" borderId="0" xfId="95" applyFont="1"/>
    <xf numFmtId="0" fontId="42" fillId="0" borderId="0" xfId="95" applyFont="1" applyAlignment="1">
      <alignment horizontal="left"/>
    </xf>
    <xf numFmtId="0" fontId="43" fillId="0" borderId="0" xfId="95" applyFont="1" applyAlignment="1"/>
    <xf numFmtId="0" fontId="44" fillId="0" borderId="0" xfId="95" applyFont="1" applyAlignment="1">
      <alignment horizontal="center"/>
    </xf>
    <xf numFmtId="0" fontId="45" fillId="0" borderId="0" xfId="95" applyFont="1" applyBorder="1"/>
    <xf numFmtId="0" fontId="20" fillId="0" borderId="0" xfId="95" applyFont="1" applyBorder="1"/>
    <xf numFmtId="4" fontId="46" fillId="5" borderId="6" xfId="1" applyNumberFormat="1" applyFont="1" applyFill="1" applyBorder="1" applyAlignment="1">
      <alignment horizontal="left" vertical="center"/>
    </xf>
    <xf numFmtId="165" fontId="15" fillId="0" borderId="0" xfId="1" quotePrefix="1" applyNumberFormat="1" applyFont="1" applyFill="1" applyBorder="1" applyAlignment="1">
      <alignment horizontal="right" vertical="center"/>
    </xf>
    <xf numFmtId="165" fontId="4" fillId="5" borderId="0" xfId="1" applyNumberFormat="1" applyFont="1" applyFill="1" applyBorder="1" applyAlignment="1">
      <alignment horizontal="right" vertical="center"/>
    </xf>
    <xf numFmtId="10" fontId="4" fillId="5" borderId="9" xfId="1" applyNumberFormat="1" applyFont="1" applyFill="1" applyBorder="1" applyAlignment="1">
      <alignment horizontal="left" vertical="center"/>
    </xf>
    <xf numFmtId="2" fontId="4" fillId="5" borderId="0" xfId="1" applyNumberFormat="1" applyFont="1" applyFill="1" applyBorder="1" applyAlignment="1">
      <alignment horizontal="left" vertical="center"/>
    </xf>
    <xf numFmtId="0" fontId="4" fillId="5" borderId="5" xfId="1" applyFont="1" applyFill="1" applyBorder="1" applyAlignment="1">
      <alignment horizontal="center" vertical="center" wrapText="1"/>
    </xf>
    <xf numFmtId="0" fontId="4" fillId="5" borderId="10" xfId="1" applyFont="1" applyFill="1" applyBorder="1" applyAlignment="1">
      <alignment horizontal="center" vertical="center" wrapText="1"/>
    </xf>
    <xf numFmtId="0" fontId="3" fillId="3" borderId="17" xfId="92" applyFont="1" applyFill="1" applyBorder="1" applyAlignment="1">
      <alignment horizontal="center" vertical="center" wrapText="1"/>
    </xf>
    <xf numFmtId="0" fontId="3" fillId="3" borderId="3" xfId="92" applyFont="1" applyFill="1" applyBorder="1" applyAlignment="1">
      <alignment horizontal="center" vertical="center" wrapText="1"/>
    </xf>
    <xf numFmtId="0" fontId="3" fillId="3" borderId="2" xfId="92" applyFont="1" applyFill="1" applyBorder="1" applyAlignment="1">
      <alignment horizontal="center" vertical="center" wrapText="1"/>
    </xf>
    <xf numFmtId="165" fontId="4" fillId="5" borderId="0" xfId="1" applyNumberFormat="1" applyFont="1" applyFill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0" fontId="12" fillId="0" borderId="11" xfId="1" applyFont="1" applyBorder="1" applyAlignment="1">
      <alignment horizontal="center"/>
    </xf>
    <xf numFmtId="0" fontId="14" fillId="0" borderId="0" xfId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right" vertical="center"/>
    </xf>
    <xf numFmtId="0" fontId="7" fillId="0" borderId="0" xfId="1" applyFont="1" applyFill="1" applyBorder="1" applyAlignment="1" applyProtection="1">
      <alignment horizontal="center"/>
      <protection locked="0"/>
    </xf>
    <xf numFmtId="0" fontId="8" fillId="4" borderId="17" xfId="1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/>
    </xf>
    <xf numFmtId="0" fontId="4" fillId="5" borderId="6" xfId="1" applyFont="1" applyFill="1" applyBorder="1" applyAlignment="1">
      <alignment horizontal="center" vertical="center" wrapText="1"/>
    </xf>
    <xf numFmtId="0" fontId="4" fillId="5" borderId="0" xfId="1" applyFont="1" applyFill="1" applyBorder="1" applyAlignment="1">
      <alignment horizontal="center" vertical="center" wrapText="1"/>
    </xf>
    <xf numFmtId="0" fontId="4" fillId="5" borderId="27" xfId="1" applyFont="1" applyFill="1" applyBorder="1" applyAlignment="1">
      <alignment horizontal="center" vertical="center"/>
    </xf>
    <xf numFmtId="0" fontId="4" fillId="5" borderId="28" xfId="1" applyFont="1" applyFill="1" applyBorder="1" applyAlignment="1">
      <alignment horizontal="center" vertical="center"/>
    </xf>
    <xf numFmtId="4" fontId="4" fillId="5" borderId="6" xfId="1" applyNumberFormat="1" applyFont="1" applyFill="1" applyBorder="1" applyAlignment="1">
      <alignment horizontal="center" vertical="center"/>
    </xf>
    <xf numFmtId="4" fontId="4" fillId="5" borderId="0" xfId="1" applyNumberFormat="1" applyFont="1" applyFill="1" applyBorder="1" applyAlignment="1">
      <alignment horizontal="center" vertical="center"/>
    </xf>
    <xf numFmtId="4" fontId="4" fillId="5" borderId="27" xfId="1" applyNumberFormat="1" applyFont="1" applyFill="1" applyBorder="1" applyAlignment="1">
      <alignment horizontal="center" vertical="center" wrapText="1"/>
    </xf>
    <xf numFmtId="4" fontId="4" fillId="5" borderId="28" xfId="1" applyNumberFormat="1" applyFont="1" applyFill="1" applyBorder="1" applyAlignment="1">
      <alignment horizontal="center" vertical="center" wrapText="1"/>
    </xf>
    <xf numFmtId="4" fontId="4" fillId="5" borderId="7" xfId="1" quotePrefix="1" applyNumberFormat="1" applyFont="1" applyFill="1" applyBorder="1" applyAlignment="1">
      <alignment horizontal="center" vertical="center" wrapText="1"/>
    </xf>
    <xf numFmtId="4" fontId="4" fillId="5" borderId="12" xfId="1" quotePrefix="1" applyNumberFormat="1" applyFont="1" applyFill="1" applyBorder="1" applyAlignment="1">
      <alignment horizontal="center" vertical="center" wrapText="1"/>
    </xf>
    <xf numFmtId="0" fontId="4" fillId="5" borderId="27" xfId="1" applyFont="1" applyFill="1" applyBorder="1" applyAlignment="1">
      <alignment horizontal="center" vertical="center" wrapText="1"/>
    </xf>
    <xf numFmtId="0" fontId="4" fillId="5" borderId="28" xfId="1" applyFont="1" applyFill="1" applyBorder="1" applyAlignment="1">
      <alignment horizontal="center" vertical="center" wrapText="1"/>
    </xf>
    <xf numFmtId="0" fontId="28" fillId="0" borderId="14" xfId="95" applyFont="1" applyBorder="1" applyAlignment="1">
      <alignment horizontal="center"/>
    </xf>
    <xf numFmtId="0" fontId="28" fillId="0" borderId="16" xfId="95" applyFont="1" applyBorder="1" applyAlignment="1">
      <alignment horizontal="center"/>
    </xf>
    <xf numFmtId="0" fontId="23" fillId="0" borderId="0" xfId="95" applyFont="1" applyAlignment="1"/>
    <xf numFmtId="0" fontId="24" fillId="0" borderId="0" xfId="95" applyFont="1" applyAlignment="1"/>
    <xf numFmtId="0" fontId="25" fillId="0" borderId="21" xfId="95" applyFont="1" applyBorder="1" applyAlignment="1">
      <alignment horizontal="center"/>
    </xf>
    <xf numFmtId="0" fontId="25" fillId="0" borderId="23" xfId="95" applyFont="1" applyBorder="1" applyAlignment="1">
      <alignment horizontal="center"/>
    </xf>
    <xf numFmtId="0" fontId="25" fillId="0" borderId="24" xfId="95" applyFont="1" applyBorder="1" applyAlignment="1">
      <alignment horizontal="center"/>
    </xf>
    <xf numFmtId="0" fontId="19" fillId="0" borderId="0" xfId="95" applyFont="1" applyAlignment="1">
      <alignment horizontal="left"/>
    </xf>
    <xf numFmtId="0" fontId="26" fillId="0" borderId="18" xfId="95" applyFont="1" applyBorder="1" applyAlignment="1">
      <alignment horizontal="center" vertical="center"/>
    </xf>
    <xf numFmtId="0" fontId="26" fillId="0" borderId="19" xfId="95" applyFont="1" applyBorder="1" applyAlignment="1">
      <alignment horizontal="center" vertical="center"/>
    </xf>
    <xf numFmtId="0" fontId="26" fillId="0" borderId="22" xfId="95" applyFont="1" applyBorder="1" applyAlignment="1">
      <alignment horizontal="center" vertical="center"/>
    </xf>
    <xf numFmtId="0" fontId="30" fillId="0" borderId="19" xfId="95" applyFont="1" applyBorder="1" applyAlignment="1">
      <alignment horizontal="left"/>
    </xf>
    <xf numFmtId="0" fontId="30" fillId="0" borderId="22" xfId="95" applyFont="1" applyBorder="1" applyAlignment="1">
      <alignment horizontal="left"/>
    </xf>
    <xf numFmtId="0" fontId="28" fillId="0" borderId="20" xfId="95" applyFont="1" applyBorder="1" applyAlignment="1">
      <alignment horizontal="center" vertical="top" wrapText="1"/>
    </xf>
    <xf numFmtId="0" fontId="28" fillId="0" borderId="13" xfId="95" applyFont="1" applyBorder="1" applyAlignment="1">
      <alignment horizontal="center" vertical="top" wrapText="1"/>
    </xf>
    <xf numFmtId="4" fontId="20" fillId="0" borderId="35" xfId="95" applyNumberFormat="1" applyFont="1" applyBorder="1" applyAlignment="1">
      <alignment horizontal="center"/>
    </xf>
    <xf numFmtId="4" fontId="20" fillId="0" borderId="36" xfId="95" applyNumberFormat="1" applyFont="1" applyBorder="1" applyAlignment="1">
      <alignment horizontal="center"/>
    </xf>
    <xf numFmtId="4" fontId="32" fillId="0" borderId="37" xfId="95" applyNumberFormat="1" applyFont="1" applyBorder="1" applyAlignment="1">
      <alignment horizontal="center"/>
    </xf>
    <xf numFmtId="4" fontId="32" fillId="0" borderId="38" xfId="95" applyNumberFormat="1" applyFont="1" applyBorder="1" applyAlignment="1">
      <alignment horizontal="center"/>
    </xf>
    <xf numFmtId="4" fontId="22" fillId="0" borderId="36" xfId="95" applyNumberFormat="1" applyFont="1" applyBorder="1" applyAlignment="1">
      <alignment horizontal="center"/>
    </xf>
    <xf numFmtId="4" fontId="27" fillId="0" borderId="38" xfId="95" applyNumberFormat="1" applyFont="1" applyBorder="1" applyAlignment="1">
      <alignment horizontal="center"/>
    </xf>
    <xf numFmtId="4" fontId="34" fillId="0" borderId="14" xfId="95" applyNumberFormat="1" applyFont="1" applyBorder="1" applyAlignment="1">
      <alignment horizontal="center"/>
    </xf>
    <xf numFmtId="4" fontId="34" fillId="0" borderId="16" xfId="95" applyNumberFormat="1" applyFont="1" applyBorder="1" applyAlignment="1">
      <alignment horizontal="center"/>
    </xf>
    <xf numFmtId="4" fontId="20" fillId="0" borderId="14" xfId="95" applyNumberFormat="1" applyFont="1" applyBorder="1" applyAlignment="1">
      <alignment horizontal="center"/>
    </xf>
    <xf numFmtId="4" fontId="20" fillId="0" borderId="16" xfId="95" applyNumberFormat="1" applyFont="1" applyBorder="1" applyAlignment="1">
      <alignment horizontal="center"/>
    </xf>
    <xf numFmtId="4" fontId="22" fillId="0" borderId="16" xfId="95" applyNumberFormat="1" applyFont="1" applyBorder="1" applyAlignment="1">
      <alignment horizontal="center"/>
    </xf>
  </cellXfs>
  <cellStyles count="96"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 hidden="1"/>
    <cellStyle name="Hiperlink" xfId="31" builtinId="8" hidden="1"/>
    <cellStyle name="Hiperlink" xfId="33" builtinId="8" hidden="1"/>
    <cellStyle name="Hiperlink" xfId="35" builtinId="8" hidden="1"/>
    <cellStyle name="Hiperlink" xfId="37" builtinId="8" hidden="1"/>
    <cellStyle name="Hiperlink" xfId="39" builtinId="8" hidden="1"/>
    <cellStyle name="Hiperlink" xfId="41" builtinId="8" hidden="1"/>
    <cellStyle name="Hiperlink" xfId="43" builtinId="8" hidden="1"/>
    <cellStyle name="Hiperlink" xfId="45" builtinId="8" hidden="1"/>
    <cellStyle name="Hiperlink" xfId="47" builtinId="8" hidden="1"/>
    <cellStyle name="Hiperlink" xfId="49" builtinId="8" hidden="1"/>
    <cellStyle name="Hiperlink" xfId="51" builtinId="8" hidden="1"/>
    <cellStyle name="Hiperlink" xfId="53" builtinId="8" hidden="1"/>
    <cellStyle name="Hiperlink" xfId="55" builtinId="8" hidden="1"/>
    <cellStyle name="Hiperlink" xfId="57" builtinId="8" hidden="1"/>
    <cellStyle name="Hiperlink" xfId="59" builtinId="8" hidden="1"/>
    <cellStyle name="Hiperlink" xfId="61" builtinId="8" hidden="1"/>
    <cellStyle name="Hiperlink" xfId="63" builtinId="8" hidden="1"/>
    <cellStyle name="Hiperlink" xfId="65" builtinId="8" hidden="1"/>
    <cellStyle name="Hiperlink" xfId="67" builtinId="8" hidden="1"/>
    <cellStyle name="Hiperlink" xfId="69" builtinId="8" hidden="1"/>
    <cellStyle name="Hiperlink" xfId="71" builtinId="8" hidden="1"/>
    <cellStyle name="Hiperlink" xfId="73" builtinId="8" hidden="1"/>
    <cellStyle name="Hiperlink" xfId="75" builtinId="8" hidden="1"/>
    <cellStyle name="Hiperlink" xfId="77" builtinId="8" hidden="1"/>
    <cellStyle name="Hiperlink" xfId="79" builtinId="8" hidden="1"/>
    <cellStyle name="Hiperlink" xfId="81" builtinId="8" hidden="1"/>
    <cellStyle name="Hiperlink" xfId="83" builtinId="8" hidden="1"/>
    <cellStyle name="Hiperlink" xfId="85" builtinId="8" hidden="1"/>
    <cellStyle name="Hiperlink" xfId="87" builtinId="8" hidden="1"/>
    <cellStyle name="Hiperlink" xfId="89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2" builtinId="9" hidden="1"/>
    <cellStyle name="Hiperlink Visitado" xfId="34" builtinId="9" hidden="1"/>
    <cellStyle name="Hiperlink Visitado" xfId="36" builtinId="9" hidden="1"/>
    <cellStyle name="Hiperlink Visitado" xfId="38" builtinId="9" hidden="1"/>
    <cellStyle name="Hiperlink Visitado" xfId="40" builtinId="9" hidden="1"/>
    <cellStyle name="Hiperlink Visitado" xfId="42" builtinId="9" hidden="1"/>
    <cellStyle name="Hiperlink Visitado" xfId="44" builtinId="9" hidden="1"/>
    <cellStyle name="Hiperlink Visitado" xfId="46" builtinId="9" hidden="1"/>
    <cellStyle name="Hiperlink Visitado" xfId="48" builtinId="9" hidden="1"/>
    <cellStyle name="Hiperlink Visitado" xfId="50" builtinId="9" hidden="1"/>
    <cellStyle name="Hiperlink Visitado" xfId="52" builtinId="9" hidden="1"/>
    <cellStyle name="Hiperlink Visitado" xfId="54" builtinId="9" hidden="1"/>
    <cellStyle name="Hiperlink Visitado" xfId="56" builtinId="9" hidden="1"/>
    <cellStyle name="Hiperlink Visitado" xfId="58" builtinId="9" hidden="1"/>
    <cellStyle name="Hiperlink Visitado" xfId="60" builtinId="9" hidden="1"/>
    <cellStyle name="Hiperlink Visitado" xfId="62" builtinId="9" hidden="1"/>
    <cellStyle name="Hiperlink Visitado" xfId="64" builtinId="9" hidden="1"/>
    <cellStyle name="Hiperlink Visitado" xfId="66" builtinId="9" hidden="1"/>
    <cellStyle name="Hiperlink Visitado" xfId="68" builtinId="9" hidden="1"/>
    <cellStyle name="Hiperlink Visitado" xfId="70" builtinId="9" hidden="1"/>
    <cellStyle name="Hiperlink Visitado" xfId="72" builtinId="9" hidden="1"/>
    <cellStyle name="Hiperlink Visitado" xfId="74" builtinId="9" hidden="1"/>
    <cellStyle name="Hiperlink Visitado" xfId="76" builtinId="9" hidden="1"/>
    <cellStyle name="Hiperlink Visitado" xfId="78" builtinId="9" hidden="1"/>
    <cellStyle name="Hiperlink Visitado" xfId="80" builtinId="9" hidden="1"/>
    <cellStyle name="Hiperlink Visitado" xfId="82" builtinId="9" hidden="1"/>
    <cellStyle name="Hiperlink Visitado" xfId="84" builtinId="9" hidden="1"/>
    <cellStyle name="Hiperlink Visitado" xfId="86" builtinId="9" hidden="1"/>
    <cellStyle name="Hiperlink Visitado" xfId="88" builtinId="9" hidden="1"/>
    <cellStyle name="Hiperlink Visitado" xfId="90" builtinId="9" hidden="1"/>
    <cellStyle name="Moeda 2" xfId="94"/>
    <cellStyle name="Normal" xfId="0" builtinId="0"/>
    <cellStyle name="Normal 2" xfId="1"/>
    <cellStyle name="Normal 3" xfId="4"/>
    <cellStyle name="Normal 3 2" xfId="95"/>
    <cellStyle name="Normal_BLOCO10" xfId="92"/>
    <cellStyle name="Normal_Global" xfId="93"/>
    <cellStyle name="Porcentagem 2" xfId="3"/>
    <cellStyle name="Vírgula 2" xfId="2"/>
    <cellStyle name="Vírgula 2 2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1379220</xdr:colOff>
      <xdr:row>5</xdr:row>
      <xdr:rowOff>161899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65BB3DD-EBC3-4BBD-BA6A-85AAF54A3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86900" cy="1122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2" name="Line 1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11353800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3" name="Line 1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11353800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4" name="Line 1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 flipH="1">
          <a:off x="11353800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11353800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feitura%20Euclides/QUADRA%20400%20MIL/PROJETOS%20EM%20ANALISE/Planilha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CRONOMOD"/>
    </sheetNames>
    <sheetDataSet>
      <sheetData sheetId="0">
        <row r="70">
          <cell r="D70" t="str">
            <v>EDSON LUIZ DA SILVA</v>
          </cell>
        </row>
        <row r="72">
          <cell r="D72" t="str">
            <v>CREA: 506.074.053-0/D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view="pageBreakPreview" topLeftCell="C75" zoomScale="160" zoomScaleNormal="160" zoomScaleSheetLayoutView="160" zoomScalePageLayoutView="160" workbookViewId="0">
      <selection activeCell="G84" sqref="G84"/>
    </sheetView>
  </sheetViews>
  <sheetFormatPr defaultColWidth="8.85546875" defaultRowHeight="12.75"/>
  <cols>
    <col min="1" max="2" width="11.42578125" style="5" customWidth="1"/>
    <col min="3" max="3" width="63.42578125" style="5" customWidth="1"/>
    <col min="4" max="4" width="8.85546875" style="5"/>
    <col min="5" max="5" width="11" style="5" customWidth="1"/>
    <col min="6" max="6" width="12" style="5" customWidth="1"/>
    <col min="7" max="7" width="20.7109375" style="5" customWidth="1"/>
    <col min="8" max="9" width="8.85546875" style="5"/>
    <col min="10" max="10" width="44.28515625" style="5" customWidth="1"/>
    <col min="11" max="11" width="8.85546875" style="5"/>
    <col min="12" max="12" width="15.42578125" style="5" customWidth="1"/>
    <col min="13" max="16384" width="8.85546875" style="5"/>
  </cols>
  <sheetData>
    <row r="1" spans="1:10">
      <c r="A1" s="207"/>
      <c r="B1" s="208"/>
      <c r="C1" s="208"/>
      <c r="D1" s="208"/>
      <c r="E1" s="208"/>
      <c r="F1" s="208"/>
      <c r="G1" s="208"/>
    </row>
    <row r="2" spans="1:10">
      <c r="A2" s="208"/>
      <c r="B2" s="208"/>
      <c r="C2" s="208"/>
      <c r="D2" s="208"/>
      <c r="E2" s="208"/>
      <c r="F2" s="208"/>
      <c r="G2" s="208"/>
    </row>
    <row r="3" spans="1:10">
      <c r="A3" s="208"/>
      <c r="B3" s="208"/>
      <c r="C3" s="208"/>
      <c r="D3" s="208"/>
      <c r="E3" s="208"/>
      <c r="F3" s="208"/>
      <c r="G3" s="208"/>
    </row>
    <row r="4" spans="1:10">
      <c r="A4" s="208"/>
      <c r="B4" s="208"/>
      <c r="C4" s="208"/>
      <c r="D4" s="208"/>
      <c r="E4" s="208"/>
      <c r="F4" s="208"/>
      <c r="G4" s="208"/>
    </row>
    <row r="5" spans="1:10" ht="23.25" customHeight="1">
      <c r="A5" s="208"/>
      <c r="B5" s="208"/>
      <c r="C5" s="208"/>
      <c r="D5" s="208"/>
      <c r="E5" s="208"/>
      <c r="F5" s="208"/>
      <c r="G5" s="208"/>
      <c r="H5" s="4"/>
      <c r="I5" s="4"/>
      <c r="J5" s="4"/>
    </row>
    <row r="6" spans="1:10" ht="33.6" customHeight="1" thickBot="1">
      <c r="A6" s="209"/>
      <c r="B6" s="209"/>
      <c r="C6" s="209"/>
      <c r="D6" s="209"/>
      <c r="E6" s="209"/>
      <c r="F6" s="209"/>
      <c r="G6" s="209"/>
      <c r="H6" s="4"/>
      <c r="I6" s="4"/>
      <c r="J6" s="4"/>
    </row>
    <row r="7" spans="1:10" ht="21" thickBot="1">
      <c r="A7" s="214" t="s">
        <v>9</v>
      </c>
      <c r="B7" s="215"/>
      <c r="C7" s="215"/>
      <c r="D7" s="215"/>
      <c r="E7" s="215"/>
      <c r="F7" s="215"/>
      <c r="G7" s="216"/>
      <c r="H7" s="6"/>
      <c r="I7" s="7"/>
      <c r="J7" s="6"/>
    </row>
    <row r="8" spans="1:10" ht="21" thickBot="1">
      <c r="A8" s="8"/>
      <c r="B8" s="8"/>
      <c r="C8" s="9"/>
      <c r="D8" s="10"/>
      <c r="E8" s="11"/>
      <c r="F8" s="12"/>
      <c r="G8" s="12"/>
      <c r="H8" s="6"/>
      <c r="I8" s="13"/>
      <c r="J8" s="6"/>
    </row>
    <row r="9" spans="1:10" ht="18">
      <c r="A9" s="14" t="s">
        <v>10</v>
      </c>
      <c r="B9" s="65"/>
      <c r="C9" s="195" t="s">
        <v>24</v>
      </c>
      <c r="D9" s="15"/>
      <c r="E9" s="16"/>
      <c r="F9" s="16"/>
      <c r="G9" s="17"/>
      <c r="H9" s="6"/>
      <c r="I9" s="18"/>
      <c r="J9" s="6"/>
    </row>
    <row r="10" spans="1:10" ht="15.75">
      <c r="A10" s="19" t="s">
        <v>11</v>
      </c>
      <c r="B10" s="66"/>
      <c r="C10" s="20" t="s">
        <v>184</v>
      </c>
      <c r="D10" s="21"/>
      <c r="E10" s="22"/>
      <c r="F10" s="23"/>
      <c r="G10" s="24"/>
      <c r="H10" s="6"/>
      <c r="I10" s="25"/>
      <c r="J10" s="6"/>
    </row>
    <row r="11" spans="1:10" ht="15">
      <c r="A11" s="19" t="s">
        <v>12</v>
      </c>
      <c r="B11" s="66"/>
      <c r="C11" s="205" t="s">
        <v>182</v>
      </c>
      <c r="D11" s="205"/>
      <c r="E11" s="205"/>
      <c r="F11" s="205"/>
      <c r="G11" s="205"/>
      <c r="H11" s="6"/>
      <c r="I11" s="26"/>
      <c r="J11" s="26"/>
    </row>
    <row r="12" spans="1:10" ht="15">
      <c r="A12" s="19" t="s">
        <v>14</v>
      </c>
      <c r="B12" s="66"/>
      <c r="C12" s="199" t="s">
        <v>181</v>
      </c>
      <c r="D12" s="27"/>
      <c r="E12" s="28"/>
      <c r="F12" s="197" t="s">
        <v>13</v>
      </c>
      <c r="G12" s="198">
        <v>0.25</v>
      </c>
      <c r="H12" s="6"/>
      <c r="I12" s="29"/>
      <c r="J12" s="26"/>
    </row>
    <row r="13" spans="1:10" ht="16.5" thickBot="1">
      <c r="A13" s="30"/>
      <c r="B13" s="67"/>
      <c r="C13" s="31"/>
      <c r="D13" s="32"/>
      <c r="E13" s="108" t="s">
        <v>186</v>
      </c>
      <c r="F13" s="33"/>
      <c r="G13" s="34"/>
      <c r="H13" s="6"/>
      <c r="I13" s="196" t="s">
        <v>183</v>
      </c>
      <c r="J13" s="6"/>
    </row>
    <row r="14" spans="1:10" ht="6.75" customHeight="1" thickBot="1">
      <c r="A14" s="35"/>
      <c r="B14" s="35"/>
      <c r="C14" s="36"/>
      <c r="D14" s="37"/>
      <c r="E14" s="38"/>
      <c r="F14" s="39"/>
      <c r="G14" s="39"/>
      <c r="H14" s="40"/>
      <c r="I14" s="13"/>
      <c r="J14" s="40"/>
    </row>
    <row r="15" spans="1:10" ht="16.5" thickBot="1">
      <c r="A15" s="41"/>
      <c r="B15" s="68"/>
      <c r="C15" s="42"/>
      <c r="D15" s="43"/>
      <c r="E15" s="44"/>
      <c r="F15" s="45" t="s">
        <v>15</v>
      </c>
      <c r="G15" s="46" t="s">
        <v>149</v>
      </c>
      <c r="H15" s="6"/>
      <c r="I15" s="47"/>
      <c r="J15" s="6"/>
    </row>
    <row r="16" spans="1:10" ht="6" customHeight="1" thickBot="1">
      <c r="A16" s="48"/>
      <c r="B16" s="48"/>
      <c r="C16" s="48"/>
      <c r="D16" s="49"/>
      <c r="E16" s="11"/>
      <c r="F16" s="12"/>
      <c r="G16" s="12"/>
      <c r="H16" s="6"/>
      <c r="I16" s="13"/>
      <c r="J16" s="6"/>
    </row>
    <row r="17" spans="1:10" ht="15">
      <c r="A17" s="200" t="s">
        <v>187</v>
      </c>
      <c r="B17" s="227" t="s">
        <v>22</v>
      </c>
      <c r="C17" s="217" t="s">
        <v>16</v>
      </c>
      <c r="D17" s="219" t="s">
        <v>17</v>
      </c>
      <c r="E17" s="221" t="s">
        <v>18</v>
      </c>
      <c r="F17" s="223" t="s">
        <v>19</v>
      </c>
      <c r="G17" s="225" t="s">
        <v>20</v>
      </c>
      <c r="H17" s="4"/>
      <c r="I17" s="50"/>
      <c r="J17" s="6"/>
    </row>
    <row r="18" spans="1:10" ht="15.75" thickBot="1">
      <c r="A18" s="201"/>
      <c r="B18" s="228"/>
      <c r="C18" s="218"/>
      <c r="D18" s="220"/>
      <c r="E18" s="222"/>
      <c r="F18" s="224"/>
      <c r="G18" s="226"/>
      <c r="H18" s="4"/>
      <c r="I18" s="50"/>
      <c r="J18" s="6"/>
    </row>
    <row r="19" spans="1:10" ht="15" thickBot="1">
      <c r="A19" s="95" t="s">
        <v>21</v>
      </c>
      <c r="B19" s="69"/>
      <c r="C19" s="96" t="s">
        <v>80</v>
      </c>
      <c r="D19" s="75"/>
      <c r="E19" s="97"/>
      <c r="F19" s="75"/>
      <c r="G19" s="98">
        <f>G23+G24+G25+G26+G27+G28+G30+G31+G35+G32+G21+G33+G34+G22+G29+G20</f>
        <v>241047.87</v>
      </c>
      <c r="H19" s="51"/>
      <c r="I19" s="53"/>
      <c r="J19" s="52"/>
    </row>
    <row r="20" spans="1:10" ht="15">
      <c r="A20" s="89" t="s">
        <v>0</v>
      </c>
      <c r="B20" s="89">
        <v>208020</v>
      </c>
      <c r="C20" s="90" t="s">
        <v>192</v>
      </c>
      <c r="D20" s="91" t="s">
        <v>45</v>
      </c>
      <c r="E20" s="92">
        <v>6</v>
      </c>
      <c r="F20" s="93">
        <f>H20*1.25</f>
        <v>765.09999999999991</v>
      </c>
      <c r="G20" s="94">
        <f>(ROUND(ROUND(E20,2)*ROUND(F20,2),2))</f>
        <v>4590.6000000000004</v>
      </c>
      <c r="H20" s="77">
        <f>538.16+73.92</f>
        <v>612.07999999999993</v>
      </c>
      <c r="I20" s="53"/>
      <c r="J20" s="52"/>
    </row>
    <row r="21" spans="1:10" ht="30">
      <c r="A21" s="89" t="s">
        <v>1</v>
      </c>
      <c r="B21" s="89">
        <v>93358</v>
      </c>
      <c r="C21" s="90" t="s">
        <v>92</v>
      </c>
      <c r="D21" s="91" t="s">
        <v>76</v>
      </c>
      <c r="E21" s="92">
        <f>5.55+(7*3*0.2*0.2)</f>
        <v>6.39</v>
      </c>
      <c r="F21" s="93">
        <f>H21*1.25</f>
        <v>97.0625</v>
      </c>
      <c r="G21" s="94">
        <f>(ROUND(ROUND(E21,2)*ROUND(F21,2),2))</f>
        <v>620.21</v>
      </c>
      <c r="H21" s="77">
        <v>77.650000000000006</v>
      </c>
      <c r="I21" s="53"/>
      <c r="J21" s="52"/>
    </row>
    <row r="22" spans="1:10" ht="45">
      <c r="A22" s="89" t="s">
        <v>2</v>
      </c>
      <c r="B22" s="89">
        <v>96542</v>
      </c>
      <c r="C22" s="90" t="s">
        <v>93</v>
      </c>
      <c r="D22" s="91" t="s">
        <v>45</v>
      </c>
      <c r="E22" s="92">
        <v>134.54</v>
      </c>
      <c r="F22" s="93">
        <f t="shared" ref="F22:F81" si="0">H22*1.25</f>
        <v>98.887500000000003</v>
      </c>
      <c r="G22" s="94">
        <f>(ROUND(ROUND(E22,2)*ROUND(F22,2),2))</f>
        <v>13304.66</v>
      </c>
      <c r="H22" s="77">
        <v>79.11</v>
      </c>
      <c r="I22" s="53"/>
      <c r="J22" s="52"/>
    </row>
    <row r="23" spans="1:10" ht="60">
      <c r="A23" s="89" t="s">
        <v>4</v>
      </c>
      <c r="B23" s="89">
        <v>92778</v>
      </c>
      <c r="C23" s="90" t="s">
        <v>85</v>
      </c>
      <c r="D23" s="91" t="s">
        <v>26</v>
      </c>
      <c r="E23" s="92">
        <f>(182*0.67)*2</f>
        <v>243.88000000000002</v>
      </c>
      <c r="F23" s="93">
        <f t="shared" si="0"/>
        <v>20.137499999999999</v>
      </c>
      <c r="G23" s="94">
        <f>(ROUND(ROUND(E23,2)*ROUND(F23,2),2))</f>
        <v>4911.74</v>
      </c>
      <c r="H23" s="77">
        <v>16.11</v>
      </c>
      <c r="I23" s="53"/>
      <c r="J23" s="52"/>
    </row>
    <row r="24" spans="1:10" ht="60">
      <c r="A24" s="89" t="s">
        <v>5</v>
      </c>
      <c r="B24" s="2">
        <v>92776</v>
      </c>
      <c r="C24" s="80" t="s">
        <v>34</v>
      </c>
      <c r="D24" s="81" t="s">
        <v>26</v>
      </c>
      <c r="E24" s="82">
        <f>(213*0.245)*2</f>
        <v>104.37</v>
      </c>
      <c r="F24" s="93">
        <f t="shared" si="0"/>
        <v>23.849999999999998</v>
      </c>
      <c r="G24" s="83">
        <f t="shared" ref="G24:G31" si="1">(ROUND(ROUND(E24,2)*ROUND(F24,2),2))</f>
        <v>2489.2199999999998</v>
      </c>
      <c r="H24" s="78">
        <v>19.079999999999998</v>
      </c>
      <c r="I24" s="53"/>
      <c r="J24" s="52"/>
    </row>
    <row r="25" spans="1:10" s="55" customFormat="1" ht="51" customHeight="1">
      <c r="A25" s="89" t="s">
        <v>6</v>
      </c>
      <c r="B25" s="2">
        <v>90279</v>
      </c>
      <c r="C25" s="84" t="s">
        <v>35</v>
      </c>
      <c r="D25" s="81" t="s">
        <v>76</v>
      </c>
      <c r="E25" s="82">
        <f>(6.5*0.2*0.3*7)*2</f>
        <v>5.46</v>
      </c>
      <c r="F25" s="93">
        <f t="shared" si="0"/>
        <v>434.17499999999995</v>
      </c>
      <c r="G25" s="83">
        <f t="shared" si="1"/>
        <v>2370.62</v>
      </c>
      <c r="H25" s="78">
        <v>347.34</v>
      </c>
      <c r="I25" s="53"/>
      <c r="J25" s="54"/>
    </row>
    <row r="26" spans="1:10" s="55" customFormat="1" ht="51" customHeight="1">
      <c r="A26" s="89" t="s">
        <v>7</v>
      </c>
      <c r="B26" s="2">
        <v>96546</v>
      </c>
      <c r="C26" s="84" t="s">
        <v>78</v>
      </c>
      <c r="D26" s="81" t="s">
        <v>26</v>
      </c>
      <c r="E26" s="92">
        <f>(129.2*4)*0.67*1.2</f>
        <v>415.50719999999995</v>
      </c>
      <c r="F26" s="93">
        <f t="shared" si="0"/>
        <v>22.512500000000003</v>
      </c>
      <c r="G26" s="83">
        <f t="shared" ref="G26" si="2">(ROUND(ROUND(E26,2)*ROUND(F26,2),2))</f>
        <v>9353.1299999999992</v>
      </c>
      <c r="H26" s="78">
        <v>18.010000000000002</v>
      </c>
      <c r="I26" s="53"/>
      <c r="J26" s="54"/>
    </row>
    <row r="27" spans="1:10" s="55" customFormat="1" ht="60">
      <c r="A27" s="89" t="s">
        <v>8</v>
      </c>
      <c r="B27" s="2">
        <v>96546</v>
      </c>
      <c r="C27" s="84" t="s">
        <v>43</v>
      </c>
      <c r="D27" s="81" t="s">
        <v>26</v>
      </c>
      <c r="E27" s="82">
        <f>603.4*0.245</f>
        <v>147.833</v>
      </c>
      <c r="F27" s="93">
        <f t="shared" si="0"/>
        <v>23.787500000000001</v>
      </c>
      <c r="G27" s="83">
        <f t="shared" ref="G27:G29" si="3">(ROUND(ROUND(E27,2)*ROUND(F27,2),2))</f>
        <v>3516.88</v>
      </c>
      <c r="H27" s="78">
        <v>19.03</v>
      </c>
      <c r="I27" s="53"/>
      <c r="J27" s="54"/>
    </row>
    <row r="28" spans="1:10" s="55" customFormat="1" ht="51" customHeight="1">
      <c r="A28" s="89" t="s">
        <v>38</v>
      </c>
      <c r="B28" s="2">
        <v>90279</v>
      </c>
      <c r="C28" s="84" t="s">
        <v>35</v>
      </c>
      <c r="D28" s="81" t="s">
        <v>76</v>
      </c>
      <c r="E28" s="82">
        <f>129.2*0.15*0.25</f>
        <v>4.8449999999999998</v>
      </c>
      <c r="F28" s="93">
        <f t="shared" si="0"/>
        <v>434.17499999999995</v>
      </c>
      <c r="G28" s="83">
        <f t="shared" si="3"/>
        <v>2105.77</v>
      </c>
      <c r="H28" s="78">
        <v>347.34</v>
      </c>
      <c r="I28" s="53"/>
      <c r="J28" s="54"/>
    </row>
    <row r="29" spans="1:10" s="55" customFormat="1" ht="51" customHeight="1">
      <c r="A29" s="89" t="s">
        <v>39</v>
      </c>
      <c r="B29" s="2">
        <v>98557</v>
      </c>
      <c r="C29" s="84" t="s">
        <v>134</v>
      </c>
      <c r="D29" s="81" t="s">
        <v>45</v>
      </c>
      <c r="E29" s="82">
        <f>(140.35*0.8)+129.5*0.8+65*0.8</f>
        <v>267.88</v>
      </c>
      <c r="F29" s="93">
        <f t="shared" si="0"/>
        <v>43</v>
      </c>
      <c r="G29" s="83">
        <f t="shared" si="3"/>
        <v>11518.84</v>
      </c>
      <c r="H29" s="78">
        <v>34.4</v>
      </c>
      <c r="I29" s="53"/>
      <c r="J29" s="54"/>
    </row>
    <row r="30" spans="1:10" ht="75">
      <c r="A30" s="89" t="s">
        <v>40</v>
      </c>
      <c r="B30" s="2">
        <v>87455</v>
      </c>
      <c r="C30" s="80" t="s">
        <v>84</v>
      </c>
      <c r="D30" s="81" t="s">
        <v>45</v>
      </c>
      <c r="E30" s="85">
        <f>(30.6*6.5)+(27.7*6.5)+(6.3*4)+(30.6*3.5)+(27.7*6.5)+(6.3*4)-67.14-67.14</f>
        <v>582.22</v>
      </c>
      <c r="F30" s="93">
        <f t="shared" si="0"/>
        <v>88.424999999999997</v>
      </c>
      <c r="G30" s="83">
        <f t="shared" si="1"/>
        <v>51485.71</v>
      </c>
      <c r="H30" s="78">
        <v>70.739999999999995</v>
      </c>
      <c r="I30" s="53"/>
      <c r="J30" s="52"/>
    </row>
    <row r="31" spans="1:10" ht="45">
      <c r="A31" s="89" t="s">
        <v>44</v>
      </c>
      <c r="B31" s="2">
        <v>93204</v>
      </c>
      <c r="C31" s="80" t="s">
        <v>51</v>
      </c>
      <c r="D31" s="81" t="s">
        <v>50</v>
      </c>
      <c r="E31" s="85">
        <f>129.2*2</f>
        <v>258.39999999999998</v>
      </c>
      <c r="F31" s="93">
        <f t="shared" si="0"/>
        <v>42.725000000000001</v>
      </c>
      <c r="G31" s="83">
        <f t="shared" si="1"/>
        <v>11041.43</v>
      </c>
      <c r="H31" s="78">
        <v>34.18</v>
      </c>
      <c r="I31" s="53"/>
      <c r="J31" s="52"/>
    </row>
    <row r="32" spans="1:10" ht="60">
      <c r="A32" s="89" t="s">
        <v>46</v>
      </c>
      <c r="B32" s="86">
        <v>101161</v>
      </c>
      <c r="C32" s="80" t="s">
        <v>79</v>
      </c>
      <c r="D32" s="81" t="s">
        <v>45</v>
      </c>
      <c r="E32" s="82">
        <f>68.62*2+30.6+15.15+67.14+67.14</f>
        <v>317.27</v>
      </c>
      <c r="F32" s="93">
        <f t="shared" si="0"/>
        <v>210.53750000000002</v>
      </c>
      <c r="G32" s="83">
        <f>(ROUND(ROUND(E32,2)*ROUND(F32,2),2))</f>
        <v>66798.03</v>
      </c>
      <c r="H32" s="87">
        <v>168.43</v>
      </c>
      <c r="I32" s="53"/>
      <c r="J32" s="52"/>
    </row>
    <row r="33" spans="1:10" ht="30">
      <c r="A33" s="89" t="s">
        <v>47</v>
      </c>
      <c r="B33" s="86">
        <v>100701</v>
      </c>
      <c r="C33" s="80" t="s">
        <v>91</v>
      </c>
      <c r="D33" s="81" t="s">
        <v>45</v>
      </c>
      <c r="E33" s="82">
        <v>74.75</v>
      </c>
      <c r="F33" s="93">
        <f t="shared" si="0"/>
        <v>509.65000000000003</v>
      </c>
      <c r="G33" s="83">
        <f>(ROUND(ROUND(E33,2)*ROUND(F33,2),2))</f>
        <v>38096.339999999997</v>
      </c>
      <c r="H33" s="87">
        <v>407.72</v>
      </c>
      <c r="I33" s="53"/>
      <c r="J33" s="52"/>
    </row>
    <row r="34" spans="1:10" ht="45">
      <c r="A34" s="89" t="s">
        <v>48</v>
      </c>
      <c r="B34" s="86">
        <v>91926</v>
      </c>
      <c r="C34" s="80" t="s">
        <v>55</v>
      </c>
      <c r="D34" s="81" t="s">
        <v>50</v>
      </c>
      <c r="E34" s="82">
        <f>30.5*2+13+13+30+30+30</f>
        <v>177</v>
      </c>
      <c r="F34" s="93">
        <f t="shared" si="0"/>
        <v>4.6875</v>
      </c>
      <c r="G34" s="83">
        <f>(ROUND(ROUND(E34,2)*ROUND(F34,2),2))</f>
        <v>830.13</v>
      </c>
      <c r="H34" s="87">
        <v>3.75</v>
      </c>
      <c r="I34" s="53"/>
      <c r="J34" s="52"/>
    </row>
    <row r="35" spans="1:10" ht="45.75" thickBot="1">
      <c r="A35" s="89" t="s">
        <v>185</v>
      </c>
      <c r="B35" s="86">
        <v>101659</v>
      </c>
      <c r="C35" s="80" t="s">
        <v>89</v>
      </c>
      <c r="D35" s="81" t="s">
        <v>17</v>
      </c>
      <c r="E35" s="82">
        <v>16</v>
      </c>
      <c r="F35" s="93">
        <f t="shared" si="0"/>
        <v>1125.9124999999999</v>
      </c>
      <c r="G35" s="83">
        <f>(ROUND(ROUND(E35,2)*ROUND(F35,2),2))</f>
        <v>18014.560000000001</v>
      </c>
      <c r="H35" s="87">
        <v>900.73</v>
      </c>
      <c r="I35" s="53"/>
      <c r="J35" s="52"/>
    </row>
    <row r="36" spans="1:10" ht="15" thickBot="1">
      <c r="A36" s="95" t="s">
        <v>81</v>
      </c>
      <c r="B36" s="69"/>
      <c r="C36" s="96" t="s">
        <v>83</v>
      </c>
      <c r="D36" s="75"/>
      <c r="E36" s="97"/>
      <c r="F36" s="75"/>
      <c r="G36" s="98">
        <f>G37+G38+G39+G40+G41+G42+G43+G44+G45+G46+G47+G48+G49+G50+G51+G52+G53+G54+G55+G56+G57+G58+G59+G60+G61+G62+G63</f>
        <v>117217.67999999996</v>
      </c>
      <c r="H36" s="51"/>
      <c r="I36" s="53"/>
      <c r="J36" s="52"/>
    </row>
    <row r="37" spans="1:10" ht="60">
      <c r="A37" s="89" t="s">
        <v>94</v>
      </c>
      <c r="B37" s="89">
        <v>92778</v>
      </c>
      <c r="C37" s="90" t="s">
        <v>25</v>
      </c>
      <c r="D37" s="91" t="s">
        <v>26</v>
      </c>
      <c r="E37" s="92">
        <f>(12*4*6)*0.395</f>
        <v>113.76</v>
      </c>
      <c r="F37" s="93">
        <f t="shared" si="0"/>
        <v>20.137499999999999</v>
      </c>
      <c r="G37" s="94">
        <f>(ROUND(ROUND(E37,2)*ROUND(F37,2),2))</f>
        <v>2291.13</v>
      </c>
      <c r="H37" s="77">
        <v>16.11</v>
      </c>
      <c r="I37" s="53"/>
      <c r="J37" s="52"/>
    </row>
    <row r="38" spans="1:10" ht="60">
      <c r="A38" s="89" t="s">
        <v>95</v>
      </c>
      <c r="B38" s="2">
        <v>92776</v>
      </c>
      <c r="C38" s="80" t="s">
        <v>34</v>
      </c>
      <c r="D38" s="81" t="s">
        <v>26</v>
      </c>
      <c r="E38" s="82">
        <f>(((12*6)/0.15)*0.7)*0.245</f>
        <v>82.32</v>
      </c>
      <c r="F38" s="93">
        <f t="shared" si="0"/>
        <v>23.849999999999998</v>
      </c>
      <c r="G38" s="83">
        <f t="shared" ref="G38:G43" si="4">(ROUND(ROUND(E38,2)*ROUND(F38,2),2))</f>
        <v>1963.33</v>
      </c>
      <c r="H38" s="78">
        <v>19.079999999999998</v>
      </c>
      <c r="I38" s="53"/>
      <c r="J38" s="52"/>
    </row>
    <row r="39" spans="1:10" ht="45">
      <c r="A39" s="89" t="s">
        <v>96</v>
      </c>
      <c r="B39" s="2">
        <v>90279</v>
      </c>
      <c r="C39" s="84" t="s">
        <v>35</v>
      </c>
      <c r="D39" s="81" t="s">
        <v>76</v>
      </c>
      <c r="E39" s="82">
        <f>12*6*0.2*0.2</f>
        <v>2.8800000000000003</v>
      </c>
      <c r="F39" s="93">
        <f t="shared" si="0"/>
        <v>434.17499999999995</v>
      </c>
      <c r="G39" s="83">
        <f t="shared" si="4"/>
        <v>1250.44</v>
      </c>
      <c r="H39" s="78">
        <v>347.34</v>
      </c>
      <c r="I39" s="56"/>
      <c r="J39" s="52"/>
    </row>
    <row r="40" spans="1:10" ht="45">
      <c r="A40" s="89" t="s">
        <v>97</v>
      </c>
      <c r="B40" s="2">
        <v>96546</v>
      </c>
      <c r="C40" s="84" t="s">
        <v>78</v>
      </c>
      <c r="D40" s="81" t="s">
        <v>26</v>
      </c>
      <c r="E40" s="92">
        <f>(60.23*4*0.67)</f>
        <v>161.41640000000001</v>
      </c>
      <c r="F40" s="93">
        <f t="shared" si="0"/>
        <v>22.512500000000003</v>
      </c>
      <c r="G40" s="83">
        <f t="shared" si="4"/>
        <v>3633.56</v>
      </c>
      <c r="H40" s="78">
        <v>18.010000000000002</v>
      </c>
      <c r="I40" s="57"/>
      <c r="J40" s="58"/>
    </row>
    <row r="41" spans="1:10" ht="60">
      <c r="A41" s="89" t="s">
        <v>98</v>
      </c>
      <c r="B41" s="2">
        <v>96546</v>
      </c>
      <c r="C41" s="84" t="s">
        <v>43</v>
      </c>
      <c r="D41" s="81" t="s">
        <v>26</v>
      </c>
      <c r="E41" s="82">
        <f>(281*0.245)</f>
        <v>68.844999999999999</v>
      </c>
      <c r="F41" s="93">
        <f t="shared" si="0"/>
        <v>23.787500000000001</v>
      </c>
      <c r="G41" s="83">
        <f t="shared" si="4"/>
        <v>1637.94</v>
      </c>
      <c r="H41" s="78">
        <v>19.03</v>
      </c>
      <c r="I41" s="61"/>
      <c r="J41" s="4"/>
    </row>
    <row r="42" spans="1:10" ht="45">
      <c r="A42" s="89" t="s">
        <v>99</v>
      </c>
      <c r="B42" s="2">
        <v>90279</v>
      </c>
      <c r="C42" s="84" t="s">
        <v>35</v>
      </c>
      <c r="D42" s="81" t="s">
        <v>76</v>
      </c>
      <c r="E42" s="82">
        <f>60.23*0.15*0.2</f>
        <v>1.8069</v>
      </c>
      <c r="F42" s="93">
        <f t="shared" si="0"/>
        <v>434.17499999999995</v>
      </c>
      <c r="G42" s="83">
        <f t="shared" si="4"/>
        <v>785.87</v>
      </c>
      <c r="H42" s="78">
        <v>347.34</v>
      </c>
      <c r="I42" s="61"/>
      <c r="J42" s="4"/>
    </row>
    <row r="43" spans="1:10" ht="75">
      <c r="A43" s="89" t="s">
        <v>100</v>
      </c>
      <c r="B43" s="2">
        <v>87453</v>
      </c>
      <c r="C43" s="80" t="s">
        <v>77</v>
      </c>
      <c r="D43" s="81" t="s">
        <v>45</v>
      </c>
      <c r="E43" s="85">
        <f>(60.23*2.8)-21.22</f>
        <v>147.42399999999998</v>
      </c>
      <c r="F43" s="93">
        <f t="shared" si="0"/>
        <v>88.424999999999997</v>
      </c>
      <c r="G43" s="83">
        <f t="shared" si="4"/>
        <v>13036.35</v>
      </c>
      <c r="H43" s="78">
        <v>70.739999999999995</v>
      </c>
      <c r="I43" s="61"/>
      <c r="J43" s="4"/>
    </row>
    <row r="44" spans="1:10" ht="60">
      <c r="A44" s="89" t="s">
        <v>101</v>
      </c>
      <c r="B44" s="86">
        <v>101161</v>
      </c>
      <c r="C44" s="80" t="s">
        <v>79</v>
      </c>
      <c r="D44" s="81" t="s">
        <v>45</v>
      </c>
      <c r="E44" s="82">
        <v>21.22</v>
      </c>
      <c r="F44" s="93">
        <f t="shared" si="0"/>
        <v>210.53750000000002</v>
      </c>
      <c r="G44" s="83">
        <f>(ROUND(ROUND(E44,2)*ROUND(F44,2),2))</f>
        <v>4467.66</v>
      </c>
      <c r="H44" s="87">
        <v>168.43</v>
      </c>
      <c r="I44" s="53"/>
      <c r="J44" s="52"/>
    </row>
    <row r="45" spans="1:10" ht="45">
      <c r="A45" s="89" t="s">
        <v>102</v>
      </c>
      <c r="B45" s="2">
        <v>93204</v>
      </c>
      <c r="C45" s="80" t="s">
        <v>51</v>
      </c>
      <c r="D45" s="81" t="s">
        <v>50</v>
      </c>
      <c r="E45" s="85">
        <f>60.23</f>
        <v>60.23</v>
      </c>
      <c r="F45" s="93">
        <f t="shared" si="0"/>
        <v>42.725000000000001</v>
      </c>
      <c r="G45" s="83">
        <f t="shared" ref="G45:G49" si="5">(ROUND(ROUND(E45,2)*ROUND(F45,2),2))</f>
        <v>2573.63</v>
      </c>
      <c r="H45" s="78">
        <v>34.18</v>
      </c>
      <c r="I45" s="61"/>
      <c r="J45" s="4"/>
    </row>
    <row r="46" spans="1:10" ht="45">
      <c r="A46" s="89" t="s">
        <v>103</v>
      </c>
      <c r="B46" s="2">
        <v>93204</v>
      </c>
      <c r="C46" s="80" t="s">
        <v>51</v>
      </c>
      <c r="D46" s="81" t="s">
        <v>50</v>
      </c>
      <c r="E46" s="85">
        <f>60.23</f>
        <v>60.23</v>
      </c>
      <c r="F46" s="93">
        <f t="shared" si="0"/>
        <v>42.725000000000001</v>
      </c>
      <c r="G46" s="83">
        <f t="shared" si="5"/>
        <v>2573.63</v>
      </c>
      <c r="H46" s="78">
        <v>34.18</v>
      </c>
      <c r="I46" s="61"/>
      <c r="J46" s="4"/>
    </row>
    <row r="47" spans="1:10" ht="60">
      <c r="A47" s="89" t="s">
        <v>104</v>
      </c>
      <c r="B47" s="2">
        <v>96114</v>
      </c>
      <c r="C47" s="80" t="s">
        <v>86</v>
      </c>
      <c r="D47" s="81" t="s">
        <v>45</v>
      </c>
      <c r="E47" s="85">
        <v>154.25</v>
      </c>
      <c r="F47" s="93">
        <f t="shared" si="0"/>
        <v>74.574999999999989</v>
      </c>
      <c r="G47" s="83">
        <f t="shared" si="5"/>
        <v>11503.97</v>
      </c>
      <c r="H47" s="78">
        <v>59.66</v>
      </c>
      <c r="I47" s="61"/>
      <c r="J47" s="4"/>
    </row>
    <row r="48" spans="1:10" ht="30">
      <c r="A48" s="89" t="s">
        <v>105</v>
      </c>
      <c r="B48" s="2">
        <v>97097</v>
      </c>
      <c r="C48" s="80" t="s">
        <v>87</v>
      </c>
      <c r="D48" s="81" t="s">
        <v>45</v>
      </c>
      <c r="E48" s="85">
        <f>E47+207.93+23.47+15.42+12.5+2.4+6</f>
        <v>421.96999999999997</v>
      </c>
      <c r="F48" s="93">
        <f t="shared" si="0"/>
        <v>42.1875</v>
      </c>
      <c r="G48" s="83">
        <f t="shared" si="5"/>
        <v>17802.91</v>
      </c>
      <c r="H48" s="78">
        <v>33.75</v>
      </c>
      <c r="I48" s="61"/>
      <c r="J48" s="4"/>
    </row>
    <row r="49" spans="1:10" ht="30">
      <c r="A49" s="89" t="s">
        <v>106</v>
      </c>
      <c r="B49" s="2">
        <v>94991</v>
      </c>
      <c r="C49" s="80" t="s">
        <v>122</v>
      </c>
      <c r="D49" s="81" t="s">
        <v>76</v>
      </c>
      <c r="E49" s="85">
        <f>E48*0.07</f>
        <v>29.5379</v>
      </c>
      <c r="F49" s="93">
        <f t="shared" si="0"/>
        <v>655.23750000000007</v>
      </c>
      <c r="G49" s="83">
        <f t="shared" si="5"/>
        <v>19355.79</v>
      </c>
      <c r="H49" s="88">
        <v>524.19000000000005</v>
      </c>
      <c r="I49" s="61"/>
      <c r="J49" s="4"/>
    </row>
    <row r="50" spans="1:10" ht="45">
      <c r="A50" s="89" t="s">
        <v>107</v>
      </c>
      <c r="B50" s="2">
        <v>89395</v>
      </c>
      <c r="C50" s="84" t="s">
        <v>66</v>
      </c>
      <c r="D50" s="81" t="s">
        <v>17</v>
      </c>
      <c r="E50" s="82">
        <v>5</v>
      </c>
      <c r="F50" s="93">
        <f t="shared" si="0"/>
        <v>14.3375</v>
      </c>
      <c r="G50" s="83">
        <f t="shared" ref="G50:G62" si="6">(ROUND(ROUND(E50,2)*ROUND(F50,2),2))</f>
        <v>71.7</v>
      </c>
      <c r="H50" s="88">
        <v>11.47</v>
      </c>
      <c r="I50" s="61"/>
      <c r="J50" s="4"/>
    </row>
    <row r="51" spans="1:10" ht="60">
      <c r="A51" s="89" t="s">
        <v>108</v>
      </c>
      <c r="B51" s="2">
        <v>91785</v>
      </c>
      <c r="C51" s="84" t="s">
        <v>64</v>
      </c>
      <c r="D51" s="81" t="s">
        <v>50</v>
      </c>
      <c r="E51" s="82">
        <f>21*2</f>
        <v>42</v>
      </c>
      <c r="F51" s="93">
        <f t="shared" si="0"/>
        <v>50.525000000000006</v>
      </c>
      <c r="G51" s="83">
        <f t="shared" si="6"/>
        <v>2122.2600000000002</v>
      </c>
      <c r="H51" s="88">
        <v>40.42</v>
      </c>
      <c r="I51" s="61"/>
      <c r="J51" s="4"/>
    </row>
    <row r="52" spans="1:10" ht="30">
      <c r="A52" s="89" t="s">
        <v>109</v>
      </c>
      <c r="B52" s="2">
        <v>102605</v>
      </c>
      <c r="C52" s="84" t="s">
        <v>65</v>
      </c>
      <c r="D52" s="81" t="s">
        <v>17</v>
      </c>
      <c r="E52" s="82">
        <v>2</v>
      </c>
      <c r="F52" s="93">
        <f t="shared" si="0"/>
        <v>313.875</v>
      </c>
      <c r="G52" s="83">
        <f t="shared" si="6"/>
        <v>627.76</v>
      </c>
      <c r="H52" s="88">
        <v>251.1</v>
      </c>
      <c r="I52" s="61"/>
      <c r="J52" s="4"/>
    </row>
    <row r="53" spans="1:10" ht="25.5">
      <c r="A53" s="89" t="s">
        <v>110</v>
      </c>
      <c r="B53" s="2" t="s">
        <v>188</v>
      </c>
      <c r="C53" s="84" t="s">
        <v>121</v>
      </c>
      <c r="D53" s="81" t="s">
        <v>45</v>
      </c>
      <c r="E53" s="82">
        <v>24.48</v>
      </c>
      <c r="F53" s="93">
        <f t="shared" si="0"/>
        <v>335.46249999999998</v>
      </c>
      <c r="G53" s="83">
        <f t="shared" si="6"/>
        <v>8212.06</v>
      </c>
      <c r="H53" s="88">
        <f>210.74+57.63</f>
        <v>268.37</v>
      </c>
      <c r="I53" s="61"/>
      <c r="J53" s="4"/>
    </row>
    <row r="54" spans="1:10" ht="60">
      <c r="A54" s="89" t="s">
        <v>111</v>
      </c>
      <c r="B54" s="2">
        <v>86931</v>
      </c>
      <c r="C54" s="84" t="s">
        <v>67</v>
      </c>
      <c r="D54" s="81" t="s">
        <v>17</v>
      </c>
      <c r="E54" s="82">
        <v>8</v>
      </c>
      <c r="F54" s="93">
        <f t="shared" si="0"/>
        <v>436.97499999999997</v>
      </c>
      <c r="G54" s="83">
        <f t="shared" si="6"/>
        <v>3495.84</v>
      </c>
      <c r="H54" s="88">
        <v>349.58</v>
      </c>
      <c r="I54" s="61"/>
      <c r="J54" s="4"/>
    </row>
    <row r="55" spans="1:10" ht="30">
      <c r="A55" s="89" t="s">
        <v>112</v>
      </c>
      <c r="B55" s="2">
        <v>100860</v>
      </c>
      <c r="C55" s="84" t="s">
        <v>68</v>
      </c>
      <c r="D55" s="81" t="s">
        <v>17</v>
      </c>
      <c r="E55" s="82">
        <v>8</v>
      </c>
      <c r="F55" s="93">
        <f t="shared" si="0"/>
        <v>103.65</v>
      </c>
      <c r="G55" s="83">
        <f t="shared" si="6"/>
        <v>829.2</v>
      </c>
      <c r="H55" s="88">
        <v>82.92</v>
      </c>
      <c r="I55" s="60"/>
      <c r="J55" s="4"/>
    </row>
    <row r="56" spans="1:10" ht="45">
      <c r="A56" s="89" t="s">
        <v>113</v>
      </c>
      <c r="B56" s="2">
        <v>86902</v>
      </c>
      <c r="C56" s="84" t="s">
        <v>69</v>
      </c>
      <c r="D56" s="81" t="s">
        <v>17</v>
      </c>
      <c r="E56" s="82">
        <v>6</v>
      </c>
      <c r="F56" s="93">
        <f t="shared" si="0"/>
        <v>270.07499999999999</v>
      </c>
      <c r="G56" s="83">
        <f t="shared" si="6"/>
        <v>1620.48</v>
      </c>
      <c r="H56" s="88">
        <v>216.06</v>
      </c>
      <c r="I56" s="60"/>
      <c r="J56" s="4"/>
    </row>
    <row r="57" spans="1:10" ht="45">
      <c r="A57" s="89" t="s">
        <v>114</v>
      </c>
      <c r="B57" s="2">
        <v>89349</v>
      </c>
      <c r="C57" s="84" t="s">
        <v>70</v>
      </c>
      <c r="D57" s="81" t="s">
        <v>17</v>
      </c>
      <c r="E57" s="82">
        <v>8</v>
      </c>
      <c r="F57" s="93">
        <f t="shared" si="0"/>
        <v>32.274999999999999</v>
      </c>
      <c r="G57" s="83">
        <f t="shared" si="6"/>
        <v>258.24</v>
      </c>
      <c r="H57" s="88">
        <v>25.82</v>
      </c>
      <c r="I57" s="60"/>
      <c r="J57" s="4"/>
    </row>
    <row r="58" spans="1:10" ht="30">
      <c r="A58" s="89" t="s">
        <v>115</v>
      </c>
      <c r="B58" s="2">
        <v>89352</v>
      </c>
      <c r="C58" s="84" t="s">
        <v>71</v>
      </c>
      <c r="D58" s="81" t="s">
        <v>17</v>
      </c>
      <c r="E58" s="82">
        <v>2</v>
      </c>
      <c r="F58" s="93">
        <f t="shared" si="0"/>
        <v>41.3125</v>
      </c>
      <c r="G58" s="83">
        <f t="shared" si="6"/>
        <v>82.62</v>
      </c>
      <c r="H58" s="88">
        <v>33.049999999999997</v>
      </c>
      <c r="I58" s="60"/>
      <c r="J58" s="4"/>
    </row>
    <row r="59" spans="1:10" ht="30">
      <c r="A59" s="89" t="s">
        <v>116</v>
      </c>
      <c r="B59" s="2">
        <v>89714</v>
      </c>
      <c r="C59" s="84" t="s">
        <v>73</v>
      </c>
      <c r="D59" s="81" t="s">
        <v>50</v>
      </c>
      <c r="E59" s="82">
        <v>42</v>
      </c>
      <c r="F59" s="93">
        <f t="shared" si="0"/>
        <v>69.987499999999997</v>
      </c>
      <c r="G59" s="83">
        <f t="shared" si="6"/>
        <v>2939.58</v>
      </c>
      <c r="H59" s="88">
        <v>55.99</v>
      </c>
      <c r="I59" s="60"/>
      <c r="J59" s="4"/>
    </row>
    <row r="60" spans="1:10" ht="30">
      <c r="A60" s="89" t="s">
        <v>117</v>
      </c>
      <c r="B60" s="2">
        <v>89712</v>
      </c>
      <c r="C60" s="84" t="s">
        <v>74</v>
      </c>
      <c r="D60" s="81" t="s">
        <v>50</v>
      </c>
      <c r="E60" s="82">
        <v>42</v>
      </c>
      <c r="F60" s="93">
        <f t="shared" si="0"/>
        <v>36.324999999999996</v>
      </c>
      <c r="G60" s="83">
        <f t="shared" si="6"/>
        <v>1525.86</v>
      </c>
      <c r="H60" s="88">
        <v>29.06</v>
      </c>
      <c r="I60" s="60"/>
      <c r="J60" s="4"/>
    </row>
    <row r="61" spans="1:10" ht="30">
      <c r="A61" s="89" t="s">
        <v>118</v>
      </c>
      <c r="B61" s="2">
        <v>89495</v>
      </c>
      <c r="C61" s="84" t="s">
        <v>75</v>
      </c>
      <c r="D61" s="81" t="s">
        <v>17</v>
      </c>
      <c r="E61" s="82">
        <v>8</v>
      </c>
      <c r="F61" s="93">
        <f t="shared" si="0"/>
        <v>16.05</v>
      </c>
      <c r="G61" s="83">
        <f t="shared" si="6"/>
        <v>128.4</v>
      </c>
      <c r="H61" s="88">
        <v>12.84</v>
      </c>
    </row>
    <row r="62" spans="1:10" s="99" customFormat="1" ht="75">
      <c r="A62" s="89" t="s">
        <v>119</v>
      </c>
      <c r="B62" s="1">
        <v>92543</v>
      </c>
      <c r="C62" s="104" t="s">
        <v>88</v>
      </c>
      <c r="D62" s="81" t="s">
        <v>45</v>
      </c>
      <c r="E62" s="85">
        <v>157.25</v>
      </c>
      <c r="F62" s="93">
        <f t="shared" si="0"/>
        <v>26.924999999999997</v>
      </c>
      <c r="G62" s="105">
        <f t="shared" si="6"/>
        <v>4234.74</v>
      </c>
      <c r="H62" s="103">
        <v>21.54</v>
      </c>
    </row>
    <row r="63" spans="1:10" s="99" customFormat="1" ht="75.75" thickBot="1">
      <c r="A63" s="89" t="s">
        <v>120</v>
      </c>
      <c r="B63" s="106">
        <v>94207</v>
      </c>
      <c r="C63" s="104" t="s">
        <v>49</v>
      </c>
      <c r="D63" s="81" t="s">
        <v>45</v>
      </c>
      <c r="E63" s="82">
        <v>157.25</v>
      </c>
      <c r="F63" s="93">
        <f t="shared" si="0"/>
        <v>52.1</v>
      </c>
      <c r="G63" s="105">
        <f t="shared" ref="G63:G76" si="7">(ROUND(ROUND(E63,2)*ROUND(F63,2),2))</f>
        <v>8192.73</v>
      </c>
      <c r="H63" s="100">
        <v>41.68</v>
      </c>
      <c r="I63" s="101"/>
      <c r="J63" s="102"/>
    </row>
    <row r="64" spans="1:10" ht="15" thickBot="1">
      <c r="A64" s="95" t="s">
        <v>82</v>
      </c>
      <c r="B64" s="202" t="s">
        <v>130</v>
      </c>
      <c r="C64" s="203"/>
      <c r="D64" s="203"/>
      <c r="E64" s="203"/>
      <c r="F64" s="204"/>
      <c r="G64" s="98">
        <f>G66+G67+G68+G69+G70+G71+G72+G73+G74+G75+G76+G77+G80+G81+G65+G78+G79</f>
        <v>51799.49</v>
      </c>
      <c r="H64" s="51"/>
      <c r="I64" s="53"/>
      <c r="J64" s="52"/>
    </row>
    <row r="65" spans="1:10" ht="45">
      <c r="A65" s="89" t="s">
        <v>135</v>
      </c>
      <c r="B65" s="86" t="s">
        <v>189</v>
      </c>
      <c r="C65" s="80" t="s">
        <v>131</v>
      </c>
      <c r="D65" s="81" t="s">
        <v>17</v>
      </c>
      <c r="E65" s="82">
        <v>8</v>
      </c>
      <c r="F65" s="93">
        <f t="shared" si="0"/>
        <v>1794.5875000000001</v>
      </c>
      <c r="G65" s="83">
        <f>F65*E65</f>
        <v>14356.7</v>
      </c>
      <c r="H65" s="87">
        <f>1380.03+55.64</f>
        <v>1435.67</v>
      </c>
      <c r="I65" s="53"/>
      <c r="J65" s="52"/>
    </row>
    <row r="66" spans="1:10" ht="45">
      <c r="A66" s="89" t="s">
        <v>136</v>
      </c>
      <c r="B66" s="86">
        <v>91834</v>
      </c>
      <c r="C66" s="80" t="s">
        <v>52</v>
      </c>
      <c r="D66" s="81" t="s">
        <v>50</v>
      </c>
      <c r="E66" s="82">
        <v>60</v>
      </c>
      <c r="F66" s="93">
        <f t="shared" si="0"/>
        <v>9.2000000000000011</v>
      </c>
      <c r="G66" s="83">
        <f t="shared" si="7"/>
        <v>552</v>
      </c>
      <c r="H66" s="87">
        <v>7.36</v>
      </c>
      <c r="I66" s="53"/>
      <c r="J66" s="52"/>
    </row>
    <row r="67" spans="1:10" ht="45">
      <c r="A67" s="89" t="s">
        <v>137</v>
      </c>
      <c r="B67" s="86">
        <v>101876</v>
      </c>
      <c r="C67" s="80" t="s">
        <v>53</v>
      </c>
      <c r="D67" s="81" t="s">
        <v>17</v>
      </c>
      <c r="E67" s="82">
        <v>1</v>
      </c>
      <c r="F67" s="93">
        <f t="shared" si="0"/>
        <v>72.074999999999989</v>
      </c>
      <c r="G67" s="83">
        <f t="shared" si="7"/>
        <v>72.08</v>
      </c>
      <c r="H67" s="87">
        <v>57.66</v>
      </c>
      <c r="I67" s="53"/>
      <c r="J67" s="52"/>
    </row>
    <row r="68" spans="1:10" ht="45">
      <c r="A68" s="89" t="s">
        <v>138</v>
      </c>
      <c r="B68" s="86">
        <v>91924</v>
      </c>
      <c r="C68" s="80" t="s">
        <v>54</v>
      </c>
      <c r="D68" s="81" t="s">
        <v>50</v>
      </c>
      <c r="E68" s="82">
        <v>40</v>
      </c>
      <c r="F68" s="93">
        <f t="shared" si="0"/>
        <v>3.2124999999999999</v>
      </c>
      <c r="G68" s="83">
        <f t="shared" si="7"/>
        <v>128.4</v>
      </c>
      <c r="H68" s="87">
        <v>2.57</v>
      </c>
      <c r="I68" s="53"/>
      <c r="J68" s="52"/>
    </row>
    <row r="69" spans="1:10" ht="45">
      <c r="A69" s="89" t="s">
        <v>139</v>
      </c>
      <c r="B69" s="86">
        <v>91926</v>
      </c>
      <c r="C69" s="80" t="s">
        <v>55</v>
      </c>
      <c r="D69" s="81" t="s">
        <v>50</v>
      </c>
      <c r="E69" s="82">
        <v>200</v>
      </c>
      <c r="F69" s="93">
        <f t="shared" si="0"/>
        <v>4.6875</v>
      </c>
      <c r="G69" s="83">
        <f t="shared" si="7"/>
        <v>938</v>
      </c>
      <c r="H69" s="87">
        <v>3.75</v>
      </c>
      <c r="I69" s="53"/>
      <c r="J69" s="52"/>
    </row>
    <row r="70" spans="1:10" ht="45">
      <c r="A70" s="89" t="s">
        <v>140</v>
      </c>
      <c r="B70" s="86">
        <v>91928</v>
      </c>
      <c r="C70" s="80" t="s">
        <v>62</v>
      </c>
      <c r="D70" s="81" t="s">
        <v>50</v>
      </c>
      <c r="E70" s="82">
        <v>60</v>
      </c>
      <c r="F70" s="93">
        <f t="shared" si="0"/>
        <v>7.65</v>
      </c>
      <c r="G70" s="83">
        <f t="shared" si="7"/>
        <v>459</v>
      </c>
      <c r="H70" s="87">
        <v>6.12</v>
      </c>
      <c r="I70" s="53"/>
      <c r="J70" s="52"/>
    </row>
    <row r="71" spans="1:10" ht="60">
      <c r="A71" s="89" t="s">
        <v>141</v>
      </c>
      <c r="B71" s="86">
        <v>92981</v>
      </c>
      <c r="C71" s="80" t="s">
        <v>61</v>
      </c>
      <c r="D71" s="81" t="s">
        <v>50</v>
      </c>
      <c r="E71" s="82">
        <v>80</v>
      </c>
      <c r="F71" s="93">
        <f t="shared" si="0"/>
        <v>18.3</v>
      </c>
      <c r="G71" s="83">
        <f t="shared" si="7"/>
        <v>1464</v>
      </c>
      <c r="H71" s="87">
        <v>14.64</v>
      </c>
      <c r="I71" s="53"/>
      <c r="J71" s="52"/>
    </row>
    <row r="72" spans="1:10" ht="60">
      <c r="A72" s="89" t="s">
        <v>142</v>
      </c>
      <c r="B72" s="86">
        <v>91840</v>
      </c>
      <c r="C72" s="80" t="s">
        <v>63</v>
      </c>
      <c r="D72" s="81" t="s">
        <v>50</v>
      </c>
      <c r="E72" s="82">
        <v>45</v>
      </c>
      <c r="F72" s="93">
        <f t="shared" si="0"/>
        <v>14.424999999999999</v>
      </c>
      <c r="G72" s="83">
        <f t="shared" si="7"/>
        <v>649.35</v>
      </c>
      <c r="H72" s="87">
        <v>11.54</v>
      </c>
      <c r="I72" s="53"/>
      <c r="J72" s="52"/>
    </row>
    <row r="73" spans="1:10" ht="45">
      <c r="A73" s="89" t="s">
        <v>143</v>
      </c>
      <c r="B73" s="86">
        <v>93656</v>
      </c>
      <c r="C73" s="80" t="s">
        <v>56</v>
      </c>
      <c r="D73" s="81" t="s">
        <v>17</v>
      </c>
      <c r="E73" s="82">
        <v>5</v>
      </c>
      <c r="F73" s="93">
        <f t="shared" si="0"/>
        <v>15.4</v>
      </c>
      <c r="G73" s="83">
        <f t="shared" si="7"/>
        <v>77</v>
      </c>
      <c r="H73" s="87">
        <v>12.32</v>
      </c>
      <c r="I73" s="53"/>
      <c r="J73" s="52"/>
    </row>
    <row r="74" spans="1:10" ht="45">
      <c r="A74" s="89" t="s">
        <v>125</v>
      </c>
      <c r="B74" s="86">
        <v>93653</v>
      </c>
      <c r="C74" s="80" t="s">
        <v>57</v>
      </c>
      <c r="D74" s="81" t="s">
        <v>17</v>
      </c>
      <c r="E74" s="82">
        <v>2</v>
      </c>
      <c r="F74" s="93">
        <f t="shared" si="0"/>
        <v>13.375</v>
      </c>
      <c r="G74" s="83">
        <f t="shared" si="7"/>
        <v>26.76</v>
      </c>
      <c r="H74" s="87">
        <v>10.7</v>
      </c>
      <c r="I74" s="53"/>
      <c r="J74" s="52"/>
    </row>
    <row r="75" spans="1:10" ht="30">
      <c r="A75" s="89" t="s">
        <v>126</v>
      </c>
      <c r="B75" s="86">
        <v>91994</v>
      </c>
      <c r="C75" s="80" t="s">
        <v>58</v>
      </c>
      <c r="D75" s="81" t="s">
        <v>17</v>
      </c>
      <c r="E75" s="82">
        <v>32</v>
      </c>
      <c r="F75" s="93">
        <f t="shared" si="0"/>
        <v>23.5625</v>
      </c>
      <c r="G75" s="83">
        <f t="shared" si="7"/>
        <v>753.92</v>
      </c>
      <c r="H75" s="87">
        <v>18.850000000000001</v>
      </c>
      <c r="I75" s="53"/>
      <c r="J75" s="52"/>
    </row>
    <row r="76" spans="1:10" ht="45">
      <c r="A76" s="89" t="s">
        <v>127</v>
      </c>
      <c r="B76" s="86">
        <v>92022</v>
      </c>
      <c r="C76" s="80" t="s">
        <v>59</v>
      </c>
      <c r="D76" s="81" t="s">
        <v>17</v>
      </c>
      <c r="E76" s="82">
        <v>6</v>
      </c>
      <c r="F76" s="93">
        <f t="shared" si="0"/>
        <v>38.700000000000003</v>
      </c>
      <c r="G76" s="83">
        <f t="shared" si="7"/>
        <v>232.2</v>
      </c>
      <c r="H76" s="87">
        <v>30.96</v>
      </c>
      <c r="I76" s="53"/>
      <c r="J76" s="52"/>
    </row>
    <row r="77" spans="1:10" ht="30.75" thickBot="1">
      <c r="A77" s="89" t="s">
        <v>128</v>
      </c>
      <c r="B77" s="86">
        <v>97583</v>
      </c>
      <c r="C77" s="80" t="s">
        <v>60</v>
      </c>
      <c r="D77" s="81" t="s">
        <v>17</v>
      </c>
      <c r="E77" s="82">
        <v>14</v>
      </c>
      <c r="F77" s="93">
        <f t="shared" si="0"/>
        <v>97.300000000000011</v>
      </c>
      <c r="G77" s="83">
        <f>(ROUND(ROUND(E77,2)*ROUND(F77,2),2))</f>
        <v>1362.2</v>
      </c>
      <c r="H77" s="79">
        <v>77.84</v>
      </c>
      <c r="I77" s="53"/>
      <c r="J77" s="52"/>
    </row>
    <row r="78" spans="1:10" ht="30.75" thickBot="1">
      <c r="A78" s="89" t="s">
        <v>129</v>
      </c>
      <c r="B78" s="86" t="s">
        <v>190</v>
      </c>
      <c r="C78" s="80" t="s">
        <v>132</v>
      </c>
      <c r="D78" s="81" t="s">
        <v>17</v>
      </c>
      <c r="E78" s="82">
        <v>6</v>
      </c>
      <c r="F78" s="93">
        <f t="shared" si="0"/>
        <v>1837.35</v>
      </c>
      <c r="G78" s="83">
        <f>(ROUND(ROUND(E78,2)*ROUND(F78,2),2))</f>
        <v>11024.1</v>
      </c>
      <c r="H78" s="79">
        <f>1228.31+241.57</f>
        <v>1469.8799999999999</v>
      </c>
      <c r="I78" s="53"/>
      <c r="J78" s="52"/>
    </row>
    <row r="79" spans="1:10" ht="30.75" thickBot="1">
      <c r="A79" s="89" t="s">
        <v>144</v>
      </c>
      <c r="B79" s="86" t="s">
        <v>191</v>
      </c>
      <c r="C79" s="80" t="s">
        <v>133</v>
      </c>
      <c r="D79" s="81" t="s">
        <v>17</v>
      </c>
      <c r="E79" s="82">
        <v>12</v>
      </c>
      <c r="F79" s="93">
        <f t="shared" ref="F79" si="8">H79*1.25</f>
        <v>1181.1625000000001</v>
      </c>
      <c r="G79" s="83">
        <f>(ROUND(ROUND(E79,2)*ROUND(F79,2),2))</f>
        <v>14173.92</v>
      </c>
      <c r="H79" s="79">
        <f>917.11+27.82</f>
        <v>944.93000000000006</v>
      </c>
      <c r="I79" s="53"/>
      <c r="J79" s="52"/>
    </row>
    <row r="80" spans="1:10" ht="45.75" thickBot="1">
      <c r="A80" s="89" t="s">
        <v>145</v>
      </c>
      <c r="B80" s="2">
        <v>100327</v>
      </c>
      <c r="C80" s="80" t="s">
        <v>90</v>
      </c>
      <c r="D80" s="81" t="s">
        <v>50</v>
      </c>
      <c r="E80" s="85">
        <v>27.8</v>
      </c>
      <c r="F80" s="93">
        <f t="shared" si="0"/>
        <v>88.350000000000009</v>
      </c>
      <c r="G80" s="83">
        <f>(ROUND(ROUND(E80,2)*ROUND(F80,2),2))</f>
        <v>2456.13</v>
      </c>
      <c r="H80" s="79">
        <v>70.680000000000007</v>
      </c>
    </row>
    <row r="81" spans="1:8" ht="30">
      <c r="A81" s="89" t="s">
        <v>146</v>
      </c>
      <c r="B81" s="2">
        <v>99814</v>
      </c>
      <c r="C81" s="80" t="s">
        <v>124</v>
      </c>
      <c r="D81" s="81" t="s">
        <v>45</v>
      </c>
      <c r="E81" s="85">
        <v>1403.53</v>
      </c>
      <c r="F81" s="93">
        <f t="shared" si="0"/>
        <v>2.1875</v>
      </c>
      <c r="G81" s="83">
        <f>(ROUND(ROUND(E81,2)*ROUND(F81,2),2))</f>
        <v>3073.73</v>
      </c>
      <c r="H81" s="107">
        <v>1.75</v>
      </c>
    </row>
    <row r="82" spans="1:8" ht="15.75">
      <c r="A82" s="70"/>
      <c r="B82" s="70"/>
      <c r="C82" s="71" t="s">
        <v>3</v>
      </c>
      <c r="D82" s="72"/>
      <c r="E82" s="72"/>
      <c r="F82" s="73"/>
      <c r="G82" s="74">
        <f>G19+G36+G64</f>
        <v>410065.03999999992</v>
      </c>
    </row>
    <row r="83" spans="1:8" ht="14.25">
      <c r="A83" s="3"/>
      <c r="B83" s="3"/>
      <c r="C83" s="59"/>
      <c r="D83" s="4"/>
      <c r="E83" s="4"/>
      <c r="F83" s="60"/>
      <c r="G83" s="4"/>
    </row>
    <row r="84" spans="1:8" ht="14.25">
      <c r="A84" s="62"/>
      <c r="B84" s="62"/>
      <c r="C84" s="4"/>
      <c r="D84" s="62"/>
      <c r="E84" s="4"/>
      <c r="F84" s="60"/>
      <c r="G84" s="4"/>
    </row>
    <row r="85" spans="1:8" ht="14.25">
      <c r="A85" s="63"/>
      <c r="B85" s="63"/>
      <c r="C85" s="4"/>
      <c r="D85" s="63"/>
      <c r="E85" s="4"/>
      <c r="F85" s="60"/>
      <c r="G85" s="64"/>
    </row>
    <row r="86" spans="1:8" ht="14.25">
      <c r="A86" s="63"/>
      <c r="B86" s="63"/>
      <c r="C86" s="4"/>
      <c r="D86" s="63"/>
      <c r="E86" s="4"/>
      <c r="F86" s="60"/>
      <c r="G86" s="64"/>
    </row>
    <row r="87" spans="1:8" ht="14.25">
      <c r="A87" s="212" t="s">
        <v>123</v>
      </c>
      <c r="B87" s="212"/>
      <c r="C87" s="212"/>
      <c r="D87" s="212"/>
      <c r="E87" s="212"/>
      <c r="F87" s="212"/>
      <c r="G87" s="212"/>
    </row>
    <row r="88" spans="1:8" ht="14.25">
      <c r="A88" s="63"/>
      <c r="B88" s="63"/>
      <c r="C88" s="4"/>
      <c r="D88" s="63"/>
      <c r="E88" s="4"/>
      <c r="F88" s="60"/>
      <c r="G88" s="4"/>
    </row>
    <row r="89" spans="1:8" ht="14.25">
      <c r="A89" s="3"/>
      <c r="B89" s="3"/>
      <c r="C89" s="4"/>
      <c r="D89" s="4"/>
      <c r="E89" s="4"/>
      <c r="F89" s="60"/>
      <c r="G89" s="64"/>
    </row>
    <row r="90" spans="1:8" ht="15.75">
      <c r="A90" s="210" t="s">
        <v>147</v>
      </c>
      <c r="B90" s="210"/>
      <c r="C90" s="210"/>
      <c r="D90" s="210"/>
      <c r="E90" s="210"/>
      <c r="F90" s="210"/>
      <c r="G90" s="210"/>
    </row>
    <row r="91" spans="1:8" ht="14.25">
      <c r="A91" s="211" t="s">
        <v>23</v>
      </c>
      <c r="B91" s="211"/>
      <c r="C91" s="211"/>
      <c r="D91" s="213"/>
      <c r="E91" s="213"/>
      <c r="F91" s="213"/>
      <c r="G91" s="213"/>
    </row>
    <row r="92" spans="1:8" ht="14.25">
      <c r="A92" s="206" t="s">
        <v>148</v>
      </c>
      <c r="B92" s="206"/>
      <c r="C92" s="206"/>
      <c r="D92" s="4"/>
      <c r="E92" s="4"/>
      <c r="F92" s="60"/>
      <c r="G92" s="4"/>
    </row>
    <row r="93" spans="1:8" ht="14.25">
      <c r="A93" s="3"/>
      <c r="B93" s="3"/>
      <c r="C93" s="4"/>
      <c r="D93" s="4"/>
      <c r="E93" s="4"/>
      <c r="F93" s="60"/>
      <c r="G93" s="4"/>
    </row>
    <row r="94" spans="1:8" ht="14.25">
      <c r="A94" s="3"/>
      <c r="B94" s="3"/>
      <c r="C94" s="4"/>
      <c r="D94" s="4"/>
      <c r="E94" s="4"/>
      <c r="F94" s="60"/>
      <c r="G94" s="4"/>
    </row>
    <row r="95" spans="1:8" ht="14.25">
      <c r="A95" s="3"/>
      <c r="B95" s="3"/>
      <c r="C95" s="4"/>
      <c r="D95" s="4"/>
      <c r="E95" s="4"/>
      <c r="F95" s="60"/>
      <c r="G95" s="4"/>
    </row>
  </sheetData>
  <mergeCells count="17">
    <mergeCell ref="B17:B18"/>
    <mergeCell ref="A17:A18"/>
    <mergeCell ref="B64:F64"/>
    <mergeCell ref="C11:G11"/>
    <mergeCell ref="A92:C92"/>
    <mergeCell ref="A1:G6"/>
    <mergeCell ref="A90:C90"/>
    <mergeCell ref="A91:C91"/>
    <mergeCell ref="A87:G87"/>
    <mergeCell ref="D90:G90"/>
    <mergeCell ref="D91:G91"/>
    <mergeCell ref="A7:G7"/>
    <mergeCell ref="C17:C18"/>
    <mergeCell ref="D17:D18"/>
    <mergeCell ref="E17:E18"/>
    <mergeCell ref="F17:F18"/>
    <mergeCell ref="G17:G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 alignWithMargins="0"/>
  <rowBreaks count="2" manualBreakCount="2">
    <brk id="37" max="6" man="1"/>
    <brk id="62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workbookViewId="0">
      <selection activeCell="B3" sqref="B3"/>
    </sheetView>
  </sheetViews>
  <sheetFormatPr defaultRowHeight="15"/>
  <cols>
    <col min="3" max="3" width="13.42578125" bestFit="1" customWidth="1"/>
    <col min="4" max="4" width="11.42578125" bestFit="1" customWidth="1"/>
  </cols>
  <sheetData>
    <row r="2" spans="2:8">
      <c r="B2" s="76" t="s">
        <v>27</v>
      </c>
      <c r="C2" s="76" t="s">
        <v>28</v>
      </c>
      <c r="D2" s="76" t="s">
        <v>29</v>
      </c>
      <c r="E2" s="76"/>
      <c r="F2" s="76"/>
      <c r="G2" s="76"/>
      <c r="H2" s="76"/>
    </row>
    <row r="3" spans="2:8">
      <c r="B3" s="76">
        <v>11</v>
      </c>
      <c r="C3" s="76">
        <v>6</v>
      </c>
      <c r="D3" s="76">
        <v>4</v>
      </c>
      <c r="E3" s="76">
        <f>B3*C3*D3</f>
        <v>264</v>
      </c>
      <c r="F3" s="76">
        <f>E3*0.395</f>
        <v>104.28</v>
      </c>
      <c r="G3" s="76"/>
      <c r="H3" s="76"/>
    </row>
    <row r="4" spans="2:8">
      <c r="B4" t="s">
        <v>30</v>
      </c>
      <c r="C4" t="s">
        <v>31</v>
      </c>
      <c r="D4" t="s">
        <v>32</v>
      </c>
      <c r="E4" t="s">
        <v>33</v>
      </c>
    </row>
    <row r="5" spans="2:8">
      <c r="B5">
        <f>6/0.15</f>
        <v>40</v>
      </c>
      <c r="C5">
        <f>(7+14+7+14)/100</f>
        <v>0.42</v>
      </c>
      <c r="D5">
        <f>C5*B5</f>
        <v>16.8</v>
      </c>
      <c r="E5">
        <f>D5*B3</f>
        <v>184.8</v>
      </c>
      <c r="F5">
        <f>E5*0.245</f>
        <v>45.276000000000003</v>
      </c>
    </row>
    <row r="7" spans="2:8">
      <c r="B7" t="s">
        <v>36</v>
      </c>
    </row>
    <row r="8" spans="2:8">
      <c r="B8">
        <f>B3*0.2*0.15*6</f>
        <v>1.98</v>
      </c>
    </row>
    <row r="9" spans="2:8">
      <c r="B9" t="s">
        <v>37</v>
      </c>
    </row>
    <row r="10" spans="2:8">
      <c r="B10">
        <f>6+3+3+3+6</f>
        <v>21</v>
      </c>
    </row>
    <row r="11" spans="2:8">
      <c r="B11">
        <f>B10*3</f>
        <v>63</v>
      </c>
    </row>
    <row r="13" spans="2:8">
      <c r="B13" t="s">
        <v>41</v>
      </c>
      <c r="C13" t="s">
        <v>72</v>
      </c>
    </row>
    <row r="14" spans="2:8">
      <c r="B14" t="s">
        <v>42</v>
      </c>
      <c r="C14">
        <f>41.9*4</f>
        <v>167.6</v>
      </c>
      <c r="E14">
        <f>C14*0.395</f>
        <v>66.201999999999998</v>
      </c>
    </row>
    <row r="15" spans="2:8">
      <c r="B15" t="s">
        <v>30</v>
      </c>
      <c r="C15">
        <f>C14/0.15</f>
        <v>1117.3333333333333</v>
      </c>
      <c r="D15">
        <f>C15*0.7</f>
        <v>782.13333333333321</v>
      </c>
      <c r="E15">
        <f>D15*0.245</f>
        <v>191.62266666666665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showZeros="0" topLeftCell="A13" zoomScaleNormal="100" workbookViewId="0">
      <selection activeCell="B2" sqref="B2"/>
    </sheetView>
  </sheetViews>
  <sheetFormatPr defaultRowHeight="18" customHeight="1"/>
  <cols>
    <col min="1" max="1" width="5.42578125" style="112" customWidth="1"/>
    <col min="2" max="2" width="40.7109375" style="112" customWidth="1"/>
    <col min="3" max="3" width="9.28515625" style="113" customWidth="1"/>
    <col min="4" max="4" width="18.85546875" style="113" customWidth="1"/>
    <col min="5" max="5" width="14.85546875" style="113" customWidth="1"/>
    <col min="6" max="6" width="17.28515625" style="112" customWidth="1"/>
    <col min="7" max="7" width="15.28515625" style="112" customWidth="1"/>
    <col min="8" max="8" width="17.28515625" style="112" customWidth="1"/>
    <col min="9" max="9" width="14.5703125" style="112" customWidth="1"/>
    <col min="10" max="10" width="16.7109375" style="112" customWidth="1"/>
    <col min="11" max="256" width="9.140625" style="112"/>
    <col min="257" max="257" width="5.42578125" style="112" customWidth="1"/>
    <col min="258" max="258" width="40.7109375" style="112" customWidth="1"/>
    <col min="259" max="259" width="9.28515625" style="112" customWidth="1"/>
    <col min="260" max="260" width="18.85546875" style="112" customWidth="1"/>
    <col min="261" max="261" width="14.85546875" style="112" customWidth="1"/>
    <col min="262" max="262" width="17.28515625" style="112" customWidth="1"/>
    <col min="263" max="263" width="15.28515625" style="112" customWidth="1"/>
    <col min="264" max="264" width="17.28515625" style="112" customWidth="1"/>
    <col min="265" max="265" width="14.5703125" style="112" customWidth="1"/>
    <col min="266" max="266" width="16.7109375" style="112" customWidth="1"/>
    <col min="267" max="512" width="9.140625" style="112"/>
    <col min="513" max="513" width="5.42578125" style="112" customWidth="1"/>
    <col min="514" max="514" width="40.7109375" style="112" customWidth="1"/>
    <col min="515" max="515" width="9.28515625" style="112" customWidth="1"/>
    <col min="516" max="516" width="18.85546875" style="112" customWidth="1"/>
    <col min="517" max="517" width="14.85546875" style="112" customWidth="1"/>
    <col min="518" max="518" width="17.28515625" style="112" customWidth="1"/>
    <col min="519" max="519" width="15.28515625" style="112" customWidth="1"/>
    <col min="520" max="520" width="17.28515625" style="112" customWidth="1"/>
    <col min="521" max="521" width="14.5703125" style="112" customWidth="1"/>
    <col min="522" max="522" width="16.7109375" style="112" customWidth="1"/>
    <col min="523" max="768" width="9.140625" style="112"/>
    <col min="769" max="769" width="5.42578125" style="112" customWidth="1"/>
    <col min="770" max="770" width="40.7109375" style="112" customWidth="1"/>
    <col min="771" max="771" width="9.28515625" style="112" customWidth="1"/>
    <col min="772" max="772" width="18.85546875" style="112" customWidth="1"/>
    <col min="773" max="773" width="14.85546875" style="112" customWidth="1"/>
    <col min="774" max="774" width="17.28515625" style="112" customWidth="1"/>
    <col min="775" max="775" width="15.28515625" style="112" customWidth="1"/>
    <col min="776" max="776" width="17.28515625" style="112" customWidth="1"/>
    <col min="777" max="777" width="14.5703125" style="112" customWidth="1"/>
    <col min="778" max="778" width="16.7109375" style="112" customWidth="1"/>
    <col min="779" max="1024" width="9.140625" style="112"/>
    <col min="1025" max="1025" width="5.42578125" style="112" customWidth="1"/>
    <col min="1026" max="1026" width="40.7109375" style="112" customWidth="1"/>
    <col min="1027" max="1027" width="9.28515625" style="112" customWidth="1"/>
    <col min="1028" max="1028" width="18.85546875" style="112" customWidth="1"/>
    <col min="1029" max="1029" width="14.85546875" style="112" customWidth="1"/>
    <col min="1030" max="1030" width="17.28515625" style="112" customWidth="1"/>
    <col min="1031" max="1031" width="15.28515625" style="112" customWidth="1"/>
    <col min="1032" max="1032" width="17.28515625" style="112" customWidth="1"/>
    <col min="1033" max="1033" width="14.5703125" style="112" customWidth="1"/>
    <col min="1034" max="1034" width="16.7109375" style="112" customWidth="1"/>
    <col min="1035" max="1280" width="9.140625" style="112"/>
    <col min="1281" max="1281" width="5.42578125" style="112" customWidth="1"/>
    <col min="1282" max="1282" width="40.7109375" style="112" customWidth="1"/>
    <col min="1283" max="1283" width="9.28515625" style="112" customWidth="1"/>
    <col min="1284" max="1284" width="18.85546875" style="112" customWidth="1"/>
    <col min="1285" max="1285" width="14.85546875" style="112" customWidth="1"/>
    <col min="1286" max="1286" width="17.28515625" style="112" customWidth="1"/>
    <col min="1287" max="1287" width="15.28515625" style="112" customWidth="1"/>
    <col min="1288" max="1288" width="17.28515625" style="112" customWidth="1"/>
    <col min="1289" max="1289" width="14.5703125" style="112" customWidth="1"/>
    <col min="1290" max="1290" width="16.7109375" style="112" customWidth="1"/>
    <col min="1291" max="1536" width="9.140625" style="112"/>
    <col min="1537" max="1537" width="5.42578125" style="112" customWidth="1"/>
    <col min="1538" max="1538" width="40.7109375" style="112" customWidth="1"/>
    <col min="1539" max="1539" width="9.28515625" style="112" customWidth="1"/>
    <col min="1540" max="1540" width="18.85546875" style="112" customWidth="1"/>
    <col min="1541" max="1541" width="14.85546875" style="112" customWidth="1"/>
    <col min="1542" max="1542" width="17.28515625" style="112" customWidth="1"/>
    <col min="1543" max="1543" width="15.28515625" style="112" customWidth="1"/>
    <col min="1544" max="1544" width="17.28515625" style="112" customWidth="1"/>
    <col min="1545" max="1545" width="14.5703125" style="112" customWidth="1"/>
    <col min="1546" max="1546" width="16.7109375" style="112" customWidth="1"/>
    <col min="1547" max="1792" width="9.140625" style="112"/>
    <col min="1793" max="1793" width="5.42578125" style="112" customWidth="1"/>
    <col min="1794" max="1794" width="40.7109375" style="112" customWidth="1"/>
    <col min="1795" max="1795" width="9.28515625" style="112" customWidth="1"/>
    <col min="1796" max="1796" width="18.85546875" style="112" customWidth="1"/>
    <col min="1797" max="1797" width="14.85546875" style="112" customWidth="1"/>
    <col min="1798" max="1798" width="17.28515625" style="112" customWidth="1"/>
    <col min="1799" max="1799" width="15.28515625" style="112" customWidth="1"/>
    <col min="1800" max="1800" width="17.28515625" style="112" customWidth="1"/>
    <col min="1801" max="1801" width="14.5703125" style="112" customWidth="1"/>
    <col min="1802" max="1802" width="16.7109375" style="112" customWidth="1"/>
    <col min="1803" max="2048" width="9.140625" style="112"/>
    <col min="2049" max="2049" width="5.42578125" style="112" customWidth="1"/>
    <col min="2050" max="2050" width="40.7109375" style="112" customWidth="1"/>
    <col min="2051" max="2051" width="9.28515625" style="112" customWidth="1"/>
    <col min="2052" max="2052" width="18.85546875" style="112" customWidth="1"/>
    <col min="2053" max="2053" width="14.85546875" style="112" customWidth="1"/>
    <col min="2054" max="2054" width="17.28515625" style="112" customWidth="1"/>
    <col min="2055" max="2055" width="15.28515625" style="112" customWidth="1"/>
    <col min="2056" max="2056" width="17.28515625" style="112" customWidth="1"/>
    <col min="2057" max="2057" width="14.5703125" style="112" customWidth="1"/>
    <col min="2058" max="2058" width="16.7109375" style="112" customWidth="1"/>
    <col min="2059" max="2304" width="9.140625" style="112"/>
    <col min="2305" max="2305" width="5.42578125" style="112" customWidth="1"/>
    <col min="2306" max="2306" width="40.7109375" style="112" customWidth="1"/>
    <col min="2307" max="2307" width="9.28515625" style="112" customWidth="1"/>
    <col min="2308" max="2308" width="18.85546875" style="112" customWidth="1"/>
    <col min="2309" max="2309" width="14.85546875" style="112" customWidth="1"/>
    <col min="2310" max="2310" width="17.28515625" style="112" customWidth="1"/>
    <col min="2311" max="2311" width="15.28515625" style="112" customWidth="1"/>
    <col min="2312" max="2312" width="17.28515625" style="112" customWidth="1"/>
    <col min="2313" max="2313" width="14.5703125" style="112" customWidth="1"/>
    <col min="2314" max="2314" width="16.7109375" style="112" customWidth="1"/>
    <col min="2315" max="2560" width="9.140625" style="112"/>
    <col min="2561" max="2561" width="5.42578125" style="112" customWidth="1"/>
    <col min="2562" max="2562" width="40.7109375" style="112" customWidth="1"/>
    <col min="2563" max="2563" width="9.28515625" style="112" customWidth="1"/>
    <col min="2564" max="2564" width="18.85546875" style="112" customWidth="1"/>
    <col min="2565" max="2565" width="14.85546875" style="112" customWidth="1"/>
    <col min="2566" max="2566" width="17.28515625" style="112" customWidth="1"/>
    <col min="2567" max="2567" width="15.28515625" style="112" customWidth="1"/>
    <col min="2568" max="2568" width="17.28515625" style="112" customWidth="1"/>
    <col min="2569" max="2569" width="14.5703125" style="112" customWidth="1"/>
    <col min="2570" max="2570" width="16.7109375" style="112" customWidth="1"/>
    <col min="2571" max="2816" width="9.140625" style="112"/>
    <col min="2817" max="2817" width="5.42578125" style="112" customWidth="1"/>
    <col min="2818" max="2818" width="40.7109375" style="112" customWidth="1"/>
    <col min="2819" max="2819" width="9.28515625" style="112" customWidth="1"/>
    <col min="2820" max="2820" width="18.85546875" style="112" customWidth="1"/>
    <col min="2821" max="2821" width="14.85546875" style="112" customWidth="1"/>
    <col min="2822" max="2822" width="17.28515625" style="112" customWidth="1"/>
    <col min="2823" max="2823" width="15.28515625" style="112" customWidth="1"/>
    <col min="2824" max="2824" width="17.28515625" style="112" customWidth="1"/>
    <col min="2825" max="2825" width="14.5703125" style="112" customWidth="1"/>
    <col min="2826" max="2826" width="16.7109375" style="112" customWidth="1"/>
    <col min="2827" max="3072" width="9.140625" style="112"/>
    <col min="3073" max="3073" width="5.42578125" style="112" customWidth="1"/>
    <col min="3074" max="3074" width="40.7109375" style="112" customWidth="1"/>
    <col min="3075" max="3075" width="9.28515625" style="112" customWidth="1"/>
    <col min="3076" max="3076" width="18.85546875" style="112" customWidth="1"/>
    <col min="3077" max="3077" width="14.85546875" style="112" customWidth="1"/>
    <col min="3078" max="3078" width="17.28515625" style="112" customWidth="1"/>
    <col min="3079" max="3079" width="15.28515625" style="112" customWidth="1"/>
    <col min="3080" max="3080" width="17.28515625" style="112" customWidth="1"/>
    <col min="3081" max="3081" width="14.5703125" style="112" customWidth="1"/>
    <col min="3082" max="3082" width="16.7109375" style="112" customWidth="1"/>
    <col min="3083" max="3328" width="9.140625" style="112"/>
    <col min="3329" max="3329" width="5.42578125" style="112" customWidth="1"/>
    <col min="3330" max="3330" width="40.7109375" style="112" customWidth="1"/>
    <col min="3331" max="3331" width="9.28515625" style="112" customWidth="1"/>
    <col min="3332" max="3332" width="18.85546875" style="112" customWidth="1"/>
    <col min="3333" max="3333" width="14.85546875" style="112" customWidth="1"/>
    <col min="3334" max="3334" width="17.28515625" style="112" customWidth="1"/>
    <col min="3335" max="3335" width="15.28515625" style="112" customWidth="1"/>
    <col min="3336" max="3336" width="17.28515625" style="112" customWidth="1"/>
    <col min="3337" max="3337" width="14.5703125" style="112" customWidth="1"/>
    <col min="3338" max="3338" width="16.7109375" style="112" customWidth="1"/>
    <col min="3339" max="3584" width="9.140625" style="112"/>
    <col min="3585" max="3585" width="5.42578125" style="112" customWidth="1"/>
    <col min="3586" max="3586" width="40.7109375" style="112" customWidth="1"/>
    <col min="3587" max="3587" width="9.28515625" style="112" customWidth="1"/>
    <col min="3588" max="3588" width="18.85546875" style="112" customWidth="1"/>
    <col min="3589" max="3589" width="14.85546875" style="112" customWidth="1"/>
    <col min="3590" max="3590" width="17.28515625" style="112" customWidth="1"/>
    <col min="3591" max="3591" width="15.28515625" style="112" customWidth="1"/>
    <col min="3592" max="3592" width="17.28515625" style="112" customWidth="1"/>
    <col min="3593" max="3593" width="14.5703125" style="112" customWidth="1"/>
    <col min="3594" max="3594" width="16.7109375" style="112" customWidth="1"/>
    <col min="3595" max="3840" width="9.140625" style="112"/>
    <col min="3841" max="3841" width="5.42578125" style="112" customWidth="1"/>
    <col min="3842" max="3842" width="40.7109375" style="112" customWidth="1"/>
    <col min="3843" max="3843" width="9.28515625" style="112" customWidth="1"/>
    <col min="3844" max="3844" width="18.85546875" style="112" customWidth="1"/>
    <col min="3845" max="3845" width="14.85546875" style="112" customWidth="1"/>
    <col min="3846" max="3846" width="17.28515625" style="112" customWidth="1"/>
    <col min="3847" max="3847" width="15.28515625" style="112" customWidth="1"/>
    <col min="3848" max="3848" width="17.28515625" style="112" customWidth="1"/>
    <col min="3849" max="3849" width="14.5703125" style="112" customWidth="1"/>
    <col min="3850" max="3850" width="16.7109375" style="112" customWidth="1"/>
    <col min="3851" max="4096" width="9.140625" style="112"/>
    <col min="4097" max="4097" width="5.42578125" style="112" customWidth="1"/>
    <col min="4098" max="4098" width="40.7109375" style="112" customWidth="1"/>
    <col min="4099" max="4099" width="9.28515625" style="112" customWidth="1"/>
    <col min="4100" max="4100" width="18.85546875" style="112" customWidth="1"/>
    <col min="4101" max="4101" width="14.85546875" style="112" customWidth="1"/>
    <col min="4102" max="4102" width="17.28515625" style="112" customWidth="1"/>
    <col min="4103" max="4103" width="15.28515625" style="112" customWidth="1"/>
    <col min="4104" max="4104" width="17.28515625" style="112" customWidth="1"/>
    <col min="4105" max="4105" width="14.5703125" style="112" customWidth="1"/>
    <col min="4106" max="4106" width="16.7109375" style="112" customWidth="1"/>
    <col min="4107" max="4352" width="9.140625" style="112"/>
    <col min="4353" max="4353" width="5.42578125" style="112" customWidth="1"/>
    <col min="4354" max="4354" width="40.7109375" style="112" customWidth="1"/>
    <col min="4355" max="4355" width="9.28515625" style="112" customWidth="1"/>
    <col min="4356" max="4356" width="18.85546875" style="112" customWidth="1"/>
    <col min="4357" max="4357" width="14.85546875" style="112" customWidth="1"/>
    <col min="4358" max="4358" width="17.28515625" style="112" customWidth="1"/>
    <col min="4359" max="4359" width="15.28515625" style="112" customWidth="1"/>
    <col min="4360" max="4360" width="17.28515625" style="112" customWidth="1"/>
    <col min="4361" max="4361" width="14.5703125" style="112" customWidth="1"/>
    <col min="4362" max="4362" width="16.7109375" style="112" customWidth="1"/>
    <col min="4363" max="4608" width="9.140625" style="112"/>
    <col min="4609" max="4609" width="5.42578125" style="112" customWidth="1"/>
    <col min="4610" max="4610" width="40.7109375" style="112" customWidth="1"/>
    <col min="4611" max="4611" width="9.28515625" style="112" customWidth="1"/>
    <col min="4612" max="4612" width="18.85546875" style="112" customWidth="1"/>
    <col min="4613" max="4613" width="14.85546875" style="112" customWidth="1"/>
    <col min="4614" max="4614" width="17.28515625" style="112" customWidth="1"/>
    <col min="4615" max="4615" width="15.28515625" style="112" customWidth="1"/>
    <col min="4616" max="4616" width="17.28515625" style="112" customWidth="1"/>
    <col min="4617" max="4617" width="14.5703125" style="112" customWidth="1"/>
    <col min="4618" max="4618" width="16.7109375" style="112" customWidth="1"/>
    <col min="4619" max="4864" width="9.140625" style="112"/>
    <col min="4865" max="4865" width="5.42578125" style="112" customWidth="1"/>
    <col min="4866" max="4866" width="40.7109375" style="112" customWidth="1"/>
    <col min="4867" max="4867" width="9.28515625" style="112" customWidth="1"/>
    <col min="4868" max="4868" width="18.85546875" style="112" customWidth="1"/>
    <col min="4869" max="4869" width="14.85546875" style="112" customWidth="1"/>
    <col min="4870" max="4870" width="17.28515625" style="112" customWidth="1"/>
    <col min="4871" max="4871" width="15.28515625" style="112" customWidth="1"/>
    <col min="4872" max="4872" width="17.28515625" style="112" customWidth="1"/>
    <col min="4873" max="4873" width="14.5703125" style="112" customWidth="1"/>
    <col min="4874" max="4874" width="16.7109375" style="112" customWidth="1"/>
    <col min="4875" max="5120" width="9.140625" style="112"/>
    <col min="5121" max="5121" width="5.42578125" style="112" customWidth="1"/>
    <col min="5122" max="5122" width="40.7109375" style="112" customWidth="1"/>
    <col min="5123" max="5123" width="9.28515625" style="112" customWidth="1"/>
    <col min="5124" max="5124" width="18.85546875" style="112" customWidth="1"/>
    <col min="5125" max="5125" width="14.85546875" style="112" customWidth="1"/>
    <col min="5126" max="5126" width="17.28515625" style="112" customWidth="1"/>
    <col min="5127" max="5127" width="15.28515625" style="112" customWidth="1"/>
    <col min="5128" max="5128" width="17.28515625" style="112" customWidth="1"/>
    <col min="5129" max="5129" width="14.5703125" style="112" customWidth="1"/>
    <col min="5130" max="5130" width="16.7109375" style="112" customWidth="1"/>
    <col min="5131" max="5376" width="9.140625" style="112"/>
    <col min="5377" max="5377" width="5.42578125" style="112" customWidth="1"/>
    <col min="5378" max="5378" width="40.7109375" style="112" customWidth="1"/>
    <col min="5379" max="5379" width="9.28515625" style="112" customWidth="1"/>
    <col min="5380" max="5380" width="18.85546875" style="112" customWidth="1"/>
    <col min="5381" max="5381" width="14.85546875" style="112" customWidth="1"/>
    <col min="5382" max="5382" width="17.28515625" style="112" customWidth="1"/>
    <col min="5383" max="5383" width="15.28515625" style="112" customWidth="1"/>
    <col min="5384" max="5384" width="17.28515625" style="112" customWidth="1"/>
    <col min="5385" max="5385" width="14.5703125" style="112" customWidth="1"/>
    <col min="5386" max="5386" width="16.7109375" style="112" customWidth="1"/>
    <col min="5387" max="5632" width="9.140625" style="112"/>
    <col min="5633" max="5633" width="5.42578125" style="112" customWidth="1"/>
    <col min="5634" max="5634" width="40.7109375" style="112" customWidth="1"/>
    <col min="5635" max="5635" width="9.28515625" style="112" customWidth="1"/>
    <col min="5636" max="5636" width="18.85546875" style="112" customWidth="1"/>
    <col min="5637" max="5637" width="14.85546875" style="112" customWidth="1"/>
    <col min="5638" max="5638" width="17.28515625" style="112" customWidth="1"/>
    <col min="5639" max="5639" width="15.28515625" style="112" customWidth="1"/>
    <col min="5640" max="5640" width="17.28515625" style="112" customWidth="1"/>
    <col min="5641" max="5641" width="14.5703125" style="112" customWidth="1"/>
    <col min="5642" max="5642" width="16.7109375" style="112" customWidth="1"/>
    <col min="5643" max="5888" width="9.140625" style="112"/>
    <col min="5889" max="5889" width="5.42578125" style="112" customWidth="1"/>
    <col min="5890" max="5890" width="40.7109375" style="112" customWidth="1"/>
    <col min="5891" max="5891" width="9.28515625" style="112" customWidth="1"/>
    <col min="5892" max="5892" width="18.85546875" style="112" customWidth="1"/>
    <col min="5893" max="5893" width="14.85546875" style="112" customWidth="1"/>
    <col min="5894" max="5894" width="17.28515625" style="112" customWidth="1"/>
    <col min="5895" max="5895" width="15.28515625" style="112" customWidth="1"/>
    <col min="5896" max="5896" width="17.28515625" style="112" customWidth="1"/>
    <col min="5897" max="5897" width="14.5703125" style="112" customWidth="1"/>
    <col min="5898" max="5898" width="16.7109375" style="112" customWidth="1"/>
    <col min="5899" max="6144" width="9.140625" style="112"/>
    <col min="6145" max="6145" width="5.42578125" style="112" customWidth="1"/>
    <col min="6146" max="6146" width="40.7109375" style="112" customWidth="1"/>
    <col min="6147" max="6147" width="9.28515625" style="112" customWidth="1"/>
    <col min="6148" max="6148" width="18.85546875" style="112" customWidth="1"/>
    <col min="6149" max="6149" width="14.85546875" style="112" customWidth="1"/>
    <col min="6150" max="6150" width="17.28515625" style="112" customWidth="1"/>
    <col min="6151" max="6151" width="15.28515625" style="112" customWidth="1"/>
    <col min="6152" max="6152" width="17.28515625" style="112" customWidth="1"/>
    <col min="6153" max="6153" width="14.5703125" style="112" customWidth="1"/>
    <col min="6154" max="6154" width="16.7109375" style="112" customWidth="1"/>
    <col min="6155" max="6400" width="9.140625" style="112"/>
    <col min="6401" max="6401" width="5.42578125" style="112" customWidth="1"/>
    <col min="6402" max="6402" width="40.7109375" style="112" customWidth="1"/>
    <col min="6403" max="6403" width="9.28515625" style="112" customWidth="1"/>
    <col min="6404" max="6404" width="18.85546875" style="112" customWidth="1"/>
    <col min="6405" max="6405" width="14.85546875" style="112" customWidth="1"/>
    <col min="6406" max="6406" width="17.28515625" style="112" customWidth="1"/>
    <col min="6407" max="6407" width="15.28515625" style="112" customWidth="1"/>
    <col min="6408" max="6408" width="17.28515625" style="112" customWidth="1"/>
    <col min="6409" max="6409" width="14.5703125" style="112" customWidth="1"/>
    <col min="6410" max="6410" width="16.7109375" style="112" customWidth="1"/>
    <col min="6411" max="6656" width="9.140625" style="112"/>
    <col min="6657" max="6657" width="5.42578125" style="112" customWidth="1"/>
    <col min="6658" max="6658" width="40.7109375" style="112" customWidth="1"/>
    <col min="6659" max="6659" width="9.28515625" style="112" customWidth="1"/>
    <col min="6660" max="6660" width="18.85546875" style="112" customWidth="1"/>
    <col min="6661" max="6661" width="14.85546875" style="112" customWidth="1"/>
    <col min="6662" max="6662" width="17.28515625" style="112" customWidth="1"/>
    <col min="6663" max="6663" width="15.28515625" style="112" customWidth="1"/>
    <col min="6664" max="6664" width="17.28515625" style="112" customWidth="1"/>
    <col min="6665" max="6665" width="14.5703125" style="112" customWidth="1"/>
    <col min="6666" max="6666" width="16.7109375" style="112" customWidth="1"/>
    <col min="6667" max="6912" width="9.140625" style="112"/>
    <col min="6913" max="6913" width="5.42578125" style="112" customWidth="1"/>
    <col min="6914" max="6914" width="40.7109375" style="112" customWidth="1"/>
    <col min="6915" max="6915" width="9.28515625" style="112" customWidth="1"/>
    <col min="6916" max="6916" width="18.85546875" style="112" customWidth="1"/>
    <col min="6917" max="6917" width="14.85546875" style="112" customWidth="1"/>
    <col min="6918" max="6918" width="17.28515625" style="112" customWidth="1"/>
    <col min="6919" max="6919" width="15.28515625" style="112" customWidth="1"/>
    <col min="6920" max="6920" width="17.28515625" style="112" customWidth="1"/>
    <col min="6921" max="6921" width="14.5703125" style="112" customWidth="1"/>
    <col min="6922" max="6922" width="16.7109375" style="112" customWidth="1"/>
    <col min="6923" max="7168" width="9.140625" style="112"/>
    <col min="7169" max="7169" width="5.42578125" style="112" customWidth="1"/>
    <col min="7170" max="7170" width="40.7109375" style="112" customWidth="1"/>
    <col min="7171" max="7171" width="9.28515625" style="112" customWidth="1"/>
    <col min="7172" max="7172" width="18.85546875" style="112" customWidth="1"/>
    <col min="7173" max="7173" width="14.85546875" style="112" customWidth="1"/>
    <col min="7174" max="7174" width="17.28515625" style="112" customWidth="1"/>
    <col min="7175" max="7175" width="15.28515625" style="112" customWidth="1"/>
    <col min="7176" max="7176" width="17.28515625" style="112" customWidth="1"/>
    <col min="7177" max="7177" width="14.5703125" style="112" customWidth="1"/>
    <col min="7178" max="7178" width="16.7109375" style="112" customWidth="1"/>
    <col min="7179" max="7424" width="9.140625" style="112"/>
    <col min="7425" max="7425" width="5.42578125" style="112" customWidth="1"/>
    <col min="7426" max="7426" width="40.7109375" style="112" customWidth="1"/>
    <col min="7427" max="7427" width="9.28515625" style="112" customWidth="1"/>
    <col min="7428" max="7428" width="18.85546875" style="112" customWidth="1"/>
    <col min="7429" max="7429" width="14.85546875" style="112" customWidth="1"/>
    <col min="7430" max="7430" width="17.28515625" style="112" customWidth="1"/>
    <col min="7431" max="7431" width="15.28515625" style="112" customWidth="1"/>
    <col min="7432" max="7432" width="17.28515625" style="112" customWidth="1"/>
    <col min="7433" max="7433" width="14.5703125" style="112" customWidth="1"/>
    <col min="7434" max="7434" width="16.7109375" style="112" customWidth="1"/>
    <col min="7435" max="7680" width="9.140625" style="112"/>
    <col min="7681" max="7681" width="5.42578125" style="112" customWidth="1"/>
    <col min="7682" max="7682" width="40.7109375" style="112" customWidth="1"/>
    <col min="7683" max="7683" width="9.28515625" style="112" customWidth="1"/>
    <col min="7684" max="7684" width="18.85546875" style="112" customWidth="1"/>
    <col min="7685" max="7685" width="14.85546875" style="112" customWidth="1"/>
    <col min="7686" max="7686" width="17.28515625" style="112" customWidth="1"/>
    <col min="7687" max="7687" width="15.28515625" style="112" customWidth="1"/>
    <col min="7688" max="7688" width="17.28515625" style="112" customWidth="1"/>
    <col min="7689" max="7689" width="14.5703125" style="112" customWidth="1"/>
    <col min="7690" max="7690" width="16.7109375" style="112" customWidth="1"/>
    <col min="7691" max="7936" width="9.140625" style="112"/>
    <col min="7937" max="7937" width="5.42578125" style="112" customWidth="1"/>
    <col min="7938" max="7938" width="40.7109375" style="112" customWidth="1"/>
    <col min="7939" max="7939" width="9.28515625" style="112" customWidth="1"/>
    <col min="7940" max="7940" width="18.85546875" style="112" customWidth="1"/>
    <col min="7941" max="7941" width="14.85546875" style="112" customWidth="1"/>
    <col min="7942" max="7942" width="17.28515625" style="112" customWidth="1"/>
    <col min="7943" max="7943" width="15.28515625" style="112" customWidth="1"/>
    <col min="7944" max="7944" width="17.28515625" style="112" customWidth="1"/>
    <col min="7945" max="7945" width="14.5703125" style="112" customWidth="1"/>
    <col min="7946" max="7946" width="16.7109375" style="112" customWidth="1"/>
    <col min="7947" max="8192" width="9.140625" style="112"/>
    <col min="8193" max="8193" width="5.42578125" style="112" customWidth="1"/>
    <col min="8194" max="8194" width="40.7109375" style="112" customWidth="1"/>
    <col min="8195" max="8195" width="9.28515625" style="112" customWidth="1"/>
    <col min="8196" max="8196" width="18.85546875" style="112" customWidth="1"/>
    <col min="8197" max="8197" width="14.85546875" style="112" customWidth="1"/>
    <col min="8198" max="8198" width="17.28515625" style="112" customWidth="1"/>
    <col min="8199" max="8199" width="15.28515625" style="112" customWidth="1"/>
    <col min="8200" max="8200" width="17.28515625" style="112" customWidth="1"/>
    <col min="8201" max="8201" width="14.5703125" style="112" customWidth="1"/>
    <col min="8202" max="8202" width="16.7109375" style="112" customWidth="1"/>
    <col min="8203" max="8448" width="9.140625" style="112"/>
    <col min="8449" max="8449" width="5.42578125" style="112" customWidth="1"/>
    <col min="8450" max="8450" width="40.7109375" style="112" customWidth="1"/>
    <col min="8451" max="8451" width="9.28515625" style="112" customWidth="1"/>
    <col min="8452" max="8452" width="18.85546875" style="112" customWidth="1"/>
    <col min="8453" max="8453" width="14.85546875" style="112" customWidth="1"/>
    <col min="8454" max="8454" width="17.28515625" style="112" customWidth="1"/>
    <col min="8455" max="8455" width="15.28515625" style="112" customWidth="1"/>
    <col min="8456" max="8456" width="17.28515625" style="112" customWidth="1"/>
    <col min="8457" max="8457" width="14.5703125" style="112" customWidth="1"/>
    <col min="8458" max="8458" width="16.7109375" style="112" customWidth="1"/>
    <col min="8459" max="8704" width="9.140625" style="112"/>
    <col min="8705" max="8705" width="5.42578125" style="112" customWidth="1"/>
    <col min="8706" max="8706" width="40.7109375" style="112" customWidth="1"/>
    <col min="8707" max="8707" width="9.28515625" style="112" customWidth="1"/>
    <col min="8708" max="8708" width="18.85546875" style="112" customWidth="1"/>
    <col min="8709" max="8709" width="14.85546875" style="112" customWidth="1"/>
    <col min="8710" max="8710" width="17.28515625" style="112" customWidth="1"/>
    <col min="8711" max="8711" width="15.28515625" style="112" customWidth="1"/>
    <col min="8712" max="8712" width="17.28515625" style="112" customWidth="1"/>
    <col min="8713" max="8713" width="14.5703125" style="112" customWidth="1"/>
    <col min="8714" max="8714" width="16.7109375" style="112" customWidth="1"/>
    <col min="8715" max="8960" width="9.140625" style="112"/>
    <col min="8961" max="8961" width="5.42578125" style="112" customWidth="1"/>
    <col min="8962" max="8962" width="40.7109375" style="112" customWidth="1"/>
    <col min="8963" max="8963" width="9.28515625" style="112" customWidth="1"/>
    <col min="8964" max="8964" width="18.85546875" style="112" customWidth="1"/>
    <col min="8965" max="8965" width="14.85546875" style="112" customWidth="1"/>
    <col min="8966" max="8966" width="17.28515625" style="112" customWidth="1"/>
    <col min="8967" max="8967" width="15.28515625" style="112" customWidth="1"/>
    <col min="8968" max="8968" width="17.28515625" style="112" customWidth="1"/>
    <col min="8969" max="8969" width="14.5703125" style="112" customWidth="1"/>
    <col min="8970" max="8970" width="16.7109375" style="112" customWidth="1"/>
    <col min="8971" max="9216" width="9.140625" style="112"/>
    <col min="9217" max="9217" width="5.42578125" style="112" customWidth="1"/>
    <col min="9218" max="9218" width="40.7109375" style="112" customWidth="1"/>
    <col min="9219" max="9219" width="9.28515625" style="112" customWidth="1"/>
    <col min="9220" max="9220" width="18.85546875" style="112" customWidth="1"/>
    <col min="9221" max="9221" width="14.85546875" style="112" customWidth="1"/>
    <col min="9222" max="9222" width="17.28515625" style="112" customWidth="1"/>
    <col min="9223" max="9223" width="15.28515625" style="112" customWidth="1"/>
    <col min="9224" max="9224" width="17.28515625" style="112" customWidth="1"/>
    <col min="9225" max="9225" width="14.5703125" style="112" customWidth="1"/>
    <col min="9226" max="9226" width="16.7109375" style="112" customWidth="1"/>
    <col min="9227" max="9472" width="9.140625" style="112"/>
    <col min="9473" max="9473" width="5.42578125" style="112" customWidth="1"/>
    <col min="9474" max="9474" width="40.7109375" style="112" customWidth="1"/>
    <col min="9475" max="9475" width="9.28515625" style="112" customWidth="1"/>
    <col min="9476" max="9476" width="18.85546875" style="112" customWidth="1"/>
    <col min="9477" max="9477" width="14.85546875" style="112" customWidth="1"/>
    <col min="9478" max="9478" width="17.28515625" style="112" customWidth="1"/>
    <col min="9479" max="9479" width="15.28515625" style="112" customWidth="1"/>
    <col min="9480" max="9480" width="17.28515625" style="112" customWidth="1"/>
    <col min="9481" max="9481" width="14.5703125" style="112" customWidth="1"/>
    <col min="9482" max="9482" width="16.7109375" style="112" customWidth="1"/>
    <col min="9483" max="9728" width="9.140625" style="112"/>
    <col min="9729" max="9729" width="5.42578125" style="112" customWidth="1"/>
    <col min="9730" max="9730" width="40.7109375" style="112" customWidth="1"/>
    <col min="9731" max="9731" width="9.28515625" style="112" customWidth="1"/>
    <col min="9732" max="9732" width="18.85546875" style="112" customWidth="1"/>
    <col min="9733" max="9733" width="14.85546875" style="112" customWidth="1"/>
    <col min="9734" max="9734" width="17.28515625" style="112" customWidth="1"/>
    <col min="9735" max="9735" width="15.28515625" style="112" customWidth="1"/>
    <col min="9736" max="9736" width="17.28515625" style="112" customWidth="1"/>
    <col min="9737" max="9737" width="14.5703125" style="112" customWidth="1"/>
    <col min="9738" max="9738" width="16.7109375" style="112" customWidth="1"/>
    <col min="9739" max="9984" width="9.140625" style="112"/>
    <col min="9985" max="9985" width="5.42578125" style="112" customWidth="1"/>
    <col min="9986" max="9986" width="40.7109375" style="112" customWidth="1"/>
    <col min="9987" max="9987" width="9.28515625" style="112" customWidth="1"/>
    <col min="9988" max="9988" width="18.85546875" style="112" customWidth="1"/>
    <col min="9989" max="9989" width="14.85546875" style="112" customWidth="1"/>
    <col min="9990" max="9990" width="17.28515625" style="112" customWidth="1"/>
    <col min="9991" max="9991" width="15.28515625" style="112" customWidth="1"/>
    <col min="9992" max="9992" width="17.28515625" style="112" customWidth="1"/>
    <col min="9993" max="9993" width="14.5703125" style="112" customWidth="1"/>
    <col min="9994" max="9994" width="16.7109375" style="112" customWidth="1"/>
    <col min="9995" max="10240" width="9.140625" style="112"/>
    <col min="10241" max="10241" width="5.42578125" style="112" customWidth="1"/>
    <col min="10242" max="10242" width="40.7109375" style="112" customWidth="1"/>
    <col min="10243" max="10243" width="9.28515625" style="112" customWidth="1"/>
    <col min="10244" max="10244" width="18.85546875" style="112" customWidth="1"/>
    <col min="10245" max="10245" width="14.85546875" style="112" customWidth="1"/>
    <col min="10246" max="10246" width="17.28515625" style="112" customWidth="1"/>
    <col min="10247" max="10247" width="15.28515625" style="112" customWidth="1"/>
    <col min="10248" max="10248" width="17.28515625" style="112" customWidth="1"/>
    <col min="10249" max="10249" width="14.5703125" style="112" customWidth="1"/>
    <col min="10250" max="10250" width="16.7109375" style="112" customWidth="1"/>
    <col min="10251" max="10496" width="9.140625" style="112"/>
    <col min="10497" max="10497" width="5.42578125" style="112" customWidth="1"/>
    <col min="10498" max="10498" width="40.7109375" style="112" customWidth="1"/>
    <col min="10499" max="10499" width="9.28515625" style="112" customWidth="1"/>
    <col min="10500" max="10500" width="18.85546875" style="112" customWidth="1"/>
    <col min="10501" max="10501" width="14.85546875" style="112" customWidth="1"/>
    <col min="10502" max="10502" width="17.28515625" style="112" customWidth="1"/>
    <col min="10503" max="10503" width="15.28515625" style="112" customWidth="1"/>
    <col min="10504" max="10504" width="17.28515625" style="112" customWidth="1"/>
    <col min="10505" max="10505" width="14.5703125" style="112" customWidth="1"/>
    <col min="10506" max="10506" width="16.7109375" style="112" customWidth="1"/>
    <col min="10507" max="10752" width="9.140625" style="112"/>
    <col min="10753" max="10753" width="5.42578125" style="112" customWidth="1"/>
    <col min="10754" max="10754" width="40.7109375" style="112" customWidth="1"/>
    <col min="10755" max="10755" width="9.28515625" style="112" customWidth="1"/>
    <col min="10756" max="10756" width="18.85546875" style="112" customWidth="1"/>
    <col min="10757" max="10757" width="14.85546875" style="112" customWidth="1"/>
    <col min="10758" max="10758" width="17.28515625" style="112" customWidth="1"/>
    <col min="10759" max="10759" width="15.28515625" style="112" customWidth="1"/>
    <col min="10760" max="10760" width="17.28515625" style="112" customWidth="1"/>
    <col min="10761" max="10761" width="14.5703125" style="112" customWidth="1"/>
    <col min="10762" max="10762" width="16.7109375" style="112" customWidth="1"/>
    <col min="10763" max="11008" width="9.140625" style="112"/>
    <col min="11009" max="11009" width="5.42578125" style="112" customWidth="1"/>
    <col min="11010" max="11010" width="40.7109375" style="112" customWidth="1"/>
    <col min="11011" max="11011" width="9.28515625" style="112" customWidth="1"/>
    <col min="11012" max="11012" width="18.85546875" style="112" customWidth="1"/>
    <col min="11013" max="11013" width="14.85546875" style="112" customWidth="1"/>
    <col min="11014" max="11014" width="17.28515625" style="112" customWidth="1"/>
    <col min="11015" max="11015" width="15.28515625" style="112" customWidth="1"/>
    <col min="11016" max="11016" width="17.28515625" style="112" customWidth="1"/>
    <col min="11017" max="11017" width="14.5703125" style="112" customWidth="1"/>
    <col min="11018" max="11018" width="16.7109375" style="112" customWidth="1"/>
    <col min="11019" max="11264" width="9.140625" style="112"/>
    <col min="11265" max="11265" width="5.42578125" style="112" customWidth="1"/>
    <col min="11266" max="11266" width="40.7109375" style="112" customWidth="1"/>
    <col min="11267" max="11267" width="9.28515625" style="112" customWidth="1"/>
    <col min="11268" max="11268" width="18.85546875" style="112" customWidth="1"/>
    <col min="11269" max="11269" width="14.85546875" style="112" customWidth="1"/>
    <col min="11270" max="11270" width="17.28515625" style="112" customWidth="1"/>
    <col min="11271" max="11271" width="15.28515625" style="112" customWidth="1"/>
    <col min="11272" max="11272" width="17.28515625" style="112" customWidth="1"/>
    <col min="11273" max="11273" width="14.5703125" style="112" customWidth="1"/>
    <col min="11274" max="11274" width="16.7109375" style="112" customWidth="1"/>
    <col min="11275" max="11520" width="9.140625" style="112"/>
    <col min="11521" max="11521" width="5.42578125" style="112" customWidth="1"/>
    <col min="11522" max="11522" width="40.7109375" style="112" customWidth="1"/>
    <col min="11523" max="11523" width="9.28515625" style="112" customWidth="1"/>
    <col min="11524" max="11524" width="18.85546875" style="112" customWidth="1"/>
    <col min="11525" max="11525" width="14.85546875" style="112" customWidth="1"/>
    <col min="11526" max="11526" width="17.28515625" style="112" customWidth="1"/>
    <col min="11527" max="11527" width="15.28515625" style="112" customWidth="1"/>
    <col min="11528" max="11528" width="17.28515625" style="112" customWidth="1"/>
    <col min="11529" max="11529" width="14.5703125" style="112" customWidth="1"/>
    <col min="11530" max="11530" width="16.7109375" style="112" customWidth="1"/>
    <col min="11531" max="11776" width="9.140625" style="112"/>
    <col min="11777" max="11777" width="5.42578125" style="112" customWidth="1"/>
    <col min="11778" max="11778" width="40.7109375" style="112" customWidth="1"/>
    <col min="11779" max="11779" width="9.28515625" style="112" customWidth="1"/>
    <col min="11780" max="11780" width="18.85546875" style="112" customWidth="1"/>
    <col min="11781" max="11781" width="14.85546875" style="112" customWidth="1"/>
    <col min="11782" max="11782" width="17.28515625" style="112" customWidth="1"/>
    <col min="11783" max="11783" width="15.28515625" style="112" customWidth="1"/>
    <col min="11784" max="11784" width="17.28515625" style="112" customWidth="1"/>
    <col min="11785" max="11785" width="14.5703125" style="112" customWidth="1"/>
    <col min="11786" max="11786" width="16.7109375" style="112" customWidth="1"/>
    <col min="11787" max="12032" width="9.140625" style="112"/>
    <col min="12033" max="12033" width="5.42578125" style="112" customWidth="1"/>
    <col min="12034" max="12034" width="40.7109375" style="112" customWidth="1"/>
    <col min="12035" max="12035" width="9.28515625" style="112" customWidth="1"/>
    <col min="12036" max="12036" width="18.85546875" style="112" customWidth="1"/>
    <col min="12037" max="12037" width="14.85546875" style="112" customWidth="1"/>
    <col min="12038" max="12038" width="17.28515625" style="112" customWidth="1"/>
    <col min="12039" max="12039" width="15.28515625" style="112" customWidth="1"/>
    <col min="12040" max="12040" width="17.28515625" style="112" customWidth="1"/>
    <col min="12041" max="12041" width="14.5703125" style="112" customWidth="1"/>
    <col min="12042" max="12042" width="16.7109375" style="112" customWidth="1"/>
    <col min="12043" max="12288" width="9.140625" style="112"/>
    <col min="12289" max="12289" width="5.42578125" style="112" customWidth="1"/>
    <col min="12290" max="12290" width="40.7109375" style="112" customWidth="1"/>
    <col min="12291" max="12291" width="9.28515625" style="112" customWidth="1"/>
    <col min="12292" max="12292" width="18.85546875" style="112" customWidth="1"/>
    <col min="12293" max="12293" width="14.85546875" style="112" customWidth="1"/>
    <col min="12294" max="12294" width="17.28515625" style="112" customWidth="1"/>
    <col min="12295" max="12295" width="15.28515625" style="112" customWidth="1"/>
    <col min="12296" max="12296" width="17.28515625" style="112" customWidth="1"/>
    <col min="12297" max="12297" width="14.5703125" style="112" customWidth="1"/>
    <col min="12298" max="12298" width="16.7109375" style="112" customWidth="1"/>
    <col min="12299" max="12544" width="9.140625" style="112"/>
    <col min="12545" max="12545" width="5.42578125" style="112" customWidth="1"/>
    <col min="12546" max="12546" width="40.7109375" style="112" customWidth="1"/>
    <col min="12547" max="12547" width="9.28515625" style="112" customWidth="1"/>
    <col min="12548" max="12548" width="18.85546875" style="112" customWidth="1"/>
    <col min="12549" max="12549" width="14.85546875" style="112" customWidth="1"/>
    <col min="12550" max="12550" width="17.28515625" style="112" customWidth="1"/>
    <col min="12551" max="12551" width="15.28515625" style="112" customWidth="1"/>
    <col min="12552" max="12552" width="17.28515625" style="112" customWidth="1"/>
    <col min="12553" max="12553" width="14.5703125" style="112" customWidth="1"/>
    <col min="12554" max="12554" width="16.7109375" style="112" customWidth="1"/>
    <col min="12555" max="12800" width="9.140625" style="112"/>
    <col min="12801" max="12801" width="5.42578125" style="112" customWidth="1"/>
    <col min="12802" max="12802" width="40.7109375" style="112" customWidth="1"/>
    <col min="12803" max="12803" width="9.28515625" style="112" customWidth="1"/>
    <col min="12804" max="12804" width="18.85546875" style="112" customWidth="1"/>
    <col min="12805" max="12805" width="14.85546875" style="112" customWidth="1"/>
    <col min="12806" max="12806" width="17.28515625" style="112" customWidth="1"/>
    <col min="12807" max="12807" width="15.28515625" style="112" customWidth="1"/>
    <col min="12808" max="12808" width="17.28515625" style="112" customWidth="1"/>
    <col min="12809" max="12809" width="14.5703125" style="112" customWidth="1"/>
    <col min="12810" max="12810" width="16.7109375" style="112" customWidth="1"/>
    <col min="12811" max="13056" width="9.140625" style="112"/>
    <col min="13057" max="13057" width="5.42578125" style="112" customWidth="1"/>
    <col min="13058" max="13058" width="40.7109375" style="112" customWidth="1"/>
    <col min="13059" max="13059" width="9.28515625" style="112" customWidth="1"/>
    <col min="13060" max="13060" width="18.85546875" style="112" customWidth="1"/>
    <col min="13061" max="13061" width="14.85546875" style="112" customWidth="1"/>
    <col min="13062" max="13062" width="17.28515625" style="112" customWidth="1"/>
    <col min="13063" max="13063" width="15.28515625" style="112" customWidth="1"/>
    <col min="13064" max="13064" width="17.28515625" style="112" customWidth="1"/>
    <col min="13065" max="13065" width="14.5703125" style="112" customWidth="1"/>
    <col min="13066" max="13066" width="16.7109375" style="112" customWidth="1"/>
    <col min="13067" max="13312" width="9.140625" style="112"/>
    <col min="13313" max="13313" width="5.42578125" style="112" customWidth="1"/>
    <col min="13314" max="13314" width="40.7109375" style="112" customWidth="1"/>
    <col min="13315" max="13315" width="9.28515625" style="112" customWidth="1"/>
    <col min="13316" max="13316" width="18.85546875" style="112" customWidth="1"/>
    <col min="13317" max="13317" width="14.85546875" style="112" customWidth="1"/>
    <col min="13318" max="13318" width="17.28515625" style="112" customWidth="1"/>
    <col min="13319" max="13319" width="15.28515625" style="112" customWidth="1"/>
    <col min="13320" max="13320" width="17.28515625" style="112" customWidth="1"/>
    <col min="13321" max="13321" width="14.5703125" style="112" customWidth="1"/>
    <col min="13322" max="13322" width="16.7109375" style="112" customWidth="1"/>
    <col min="13323" max="13568" width="9.140625" style="112"/>
    <col min="13569" max="13569" width="5.42578125" style="112" customWidth="1"/>
    <col min="13570" max="13570" width="40.7109375" style="112" customWidth="1"/>
    <col min="13571" max="13571" width="9.28515625" style="112" customWidth="1"/>
    <col min="13572" max="13572" width="18.85546875" style="112" customWidth="1"/>
    <col min="13573" max="13573" width="14.85546875" style="112" customWidth="1"/>
    <col min="13574" max="13574" width="17.28515625" style="112" customWidth="1"/>
    <col min="13575" max="13575" width="15.28515625" style="112" customWidth="1"/>
    <col min="13576" max="13576" width="17.28515625" style="112" customWidth="1"/>
    <col min="13577" max="13577" width="14.5703125" style="112" customWidth="1"/>
    <col min="13578" max="13578" width="16.7109375" style="112" customWidth="1"/>
    <col min="13579" max="13824" width="9.140625" style="112"/>
    <col min="13825" max="13825" width="5.42578125" style="112" customWidth="1"/>
    <col min="13826" max="13826" width="40.7109375" style="112" customWidth="1"/>
    <col min="13827" max="13827" width="9.28515625" style="112" customWidth="1"/>
    <col min="13828" max="13828" width="18.85546875" style="112" customWidth="1"/>
    <col min="13829" max="13829" width="14.85546875" style="112" customWidth="1"/>
    <col min="13830" max="13830" width="17.28515625" style="112" customWidth="1"/>
    <col min="13831" max="13831" width="15.28515625" style="112" customWidth="1"/>
    <col min="13832" max="13832" width="17.28515625" style="112" customWidth="1"/>
    <col min="13833" max="13833" width="14.5703125" style="112" customWidth="1"/>
    <col min="13834" max="13834" width="16.7109375" style="112" customWidth="1"/>
    <col min="13835" max="14080" width="9.140625" style="112"/>
    <col min="14081" max="14081" width="5.42578125" style="112" customWidth="1"/>
    <col min="14082" max="14082" width="40.7109375" style="112" customWidth="1"/>
    <col min="14083" max="14083" width="9.28515625" style="112" customWidth="1"/>
    <col min="14084" max="14084" width="18.85546875" style="112" customWidth="1"/>
    <col min="14085" max="14085" width="14.85546875" style="112" customWidth="1"/>
    <col min="14086" max="14086" width="17.28515625" style="112" customWidth="1"/>
    <col min="14087" max="14087" width="15.28515625" style="112" customWidth="1"/>
    <col min="14088" max="14088" width="17.28515625" style="112" customWidth="1"/>
    <col min="14089" max="14089" width="14.5703125" style="112" customWidth="1"/>
    <col min="14090" max="14090" width="16.7109375" style="112" customWidth="1"/>
    <col min="14091" max="14336" width="9.140625" style="112"/>
    <col min="14337" max="14337" width="5.42578125" style="112" customWidth="1"/>
    <col min="14338" max="14338" width="40.7109375" style="112" customWidth="1"/>
    <col min="14339" max="14339" width="9.28515625" style="112" customWidth="1"/>
    <col min="14340" max="14340" width="18.85546875" style="112" customWidth="1"/>
    <col min="14341" max="14341" width="14.85546875" style="112" customWidth="1"/>
    <col min="14342" max="14342" width="17.28515625" style="112" customWidth="1"/>
    <col min="14343" max="14343" width="15.28515625" style="112" customWidth="1"/>
    <col min="14344" max="14344" width="17.28515625" style="112" customWidth="1"/>
    <col min="14345" max="14345" width="14.5703125" style="112" customWidth="1"/>
    <col min="14346" max="14346" width="16.7109375" style="112" customWidth="1"/>
    <col min="14347" max="14592" width="9.140625" style="112"/>
    <col min="14593" max="14593" width="5.42578125" style="112" customWidth="1"/>
    <col min="14594" max="14594" width="40.7109375" style="112" customWidth="1"/>
    <col min="14595" max="14595" width="9.28515625" style="112" customWidth="1"/>
    <col min="14596" max="14596" width="18.85546875" style="112" customWidth="1"/>
    <col min="14597" max="14597" width="14.85546875" style="112" customWidth="1"/>
    <col min="14598" max="14598" width="17.28515625" style="112" customWidth="1"/>
    <col min="14599" max="14599" width="15.28515625" style="112" customWidth="1"/>
    <col min="14600" max="14600" width="17.28515625" style="112" customWidth="1"/>
    <col min="14601" max="14601" width="14.5703125" style="112" customWidth="1"/>
    <col min="14602" max="14602" width="16.7109375" style="112" customWidth="1"/>
    <col min="14603" max="14848" width="9.140625" style="112"/>
    <col min="14849" max="14849" width="5.42578125" style="112" customWidth="1"/>
    <col min="14850" max="14850" width="40.7109375" style="112" customWidth="1"/>
    <col min="14851" max="14851" width="9.28515625" style="112" customWidth="1"/>
    <col min="14852" max="14852" width="18.85546875" style="112" customWidth="1"/>
    <col min="14853" max="14853" width="14.85546875" style="112" customWidth="1"/>
    <col min="14854" max="14854" width="17.28515625" style="112" customWidth="1"/>
    <col min="14855" max="14855" width="15.28515625" style="112" customWidth="1"/>
    <col min="14856" max="14856" width="17.28515625" style="112" customWidth="1"/>
    <col min="14857" max="14857" width="14.5703125" style="112" customWidth="1"/>
    <col min="14858" max="14858" width="16.7109375" style="112" customWidth="1"/>
    <col min="14859" max="15104" width="9.140625" style="112"/>
    <col min="15105" max="15105" width="5.42578125" style="112" customWidth="1"/>
    <col min="15106" max="15106" width="40.7109375" style="112" customWidth="1"/>
    <col min="15107" max="15107" width="9.28515625" style="112" customWidth="1"/>
    <col min="15108" max="15108" width="18.85546875" style="112" customWidth="1"/>
    <col min="15109" max="15109" width="14.85546875" style="112" customWidth="1"/>
    <col min="15110" max="15110" width="17.28515625" style="112" customWidth="1"/>
    <col min="15111" max="15111" width="15.28515625" style="112" customWidth="1"/>
    <col min="15112" max="15112" width="17.28515625" style="112" customWidth="1"/>
    <col min="15113" max="15113" width="14.5703125" style="112" customWidth="1"/>
    <col min="15114" max="15114" width="16.7109375" style="112" customWidth="1"/>
    <col min="15115" max="15360" width="9.140625" style="112"/>
    <col min="15361" max="15361" width="5.42578125" style="112" customWidth="1"/>
    <col min="15362" max="15362" width="40.7109375" style="112" customWidth="1"/>
    <col min="15363" max="15363" width="9.28515625" style="112" customWidth="1"/>
    <col min="15364" max="15364" width="18.85546875" style="112" customWidth="1"/>
    <col min="15365" max="15365" width="14.85546875" style="112" customWidth="1"/>
    <col min="15366" max="15366" width="17.28515625" style="112" customWidth="1"/>
    <col min="15367" max="15367" width="15.28515625" style="112" customWidth="1"/>
    <col min="15368" max="15368" width="17.28515625" style="112" customWidth="1"/>
    <col min="15369" max="15369" width="14.5703125" style="112" customWidth="1"/>
    <col min="15370" max="15370" width="16.7109375" style="112" customWidth="1"/>
    <col min="15371" max="15616" width="9.140625" style="112"/>
    <col min="15617" max="15617" width="5.42578125" style="112" customWidth="1"/>
    <col min="15618" max="15618" width="40.7109375" style="112" customWidth="1"/>
    <col min="15619" max="15619" width="9.28515625" style="112" customWidth="1"/>
    <col min="15620" max="15620" width="18.85546875" style="112" customWidth="1"/>
    <col min="15621" max="15621" width="14.85546875" style="112" customWidth="1"/>
    <col min="15622" max="15622" width="17.28515625" style="112" customWidth="1"/>
    <col min="15623" max="15623" width="15.28515625" style="112" customWidth="1"/>
    <col min="15624" max="15624" width="17.28515625" style="112" customWidth="1"/>
    <col min="15625" max="15625" width="14.5703125" style="112" customWidth="1"/>
    <col min="15626" max="15626" width="16.7109375" style="112" customWidth="1"/>
    <col min="15627" max="15872" width="9.140625" style="112"/>
    <col min="15873" max="15873" width="5.42578125" style="112" customWidth="1"/>
    <col min="15874" max="15874" width="40.7109375" style="112" customWidth="1"/>
    <col min="15875" max="15875" width="9.28515625" style="112" customWidth="1"/>
    <col min="15876" max="15876" width="18.85546875" style="112" customWidth="1"/>
    <col min="15877" max="15877" width="14.85546875" style="112" customWidth="1"/>
    <col min="15878" max="15878" width="17.28515625" style="112" customWidth="1"/>
    <col min="15879" max="15879" width="15.28515625" style="112" customWidth="1"/>
    <col min="15880" max="15880" width="17.28515625" style="112" customWidth="1"/>
    <col min="15881" max="15881" width="14.5703125" style="112" customWidth="1"/>
    <col min="15882" max="15882" width="16.7109375" style="112" customWidth="1"/>
    <col min="15883" max="16128" width="9.140625" style="112"/>
    <col min="16129" max="16129" width="5.42578125" style="112" customWidth="1"/>
    <col min="16130" max="16130" width="40.7109375" style="112" customWidth="1"/>
    <col min="16131" max="16131" width="9.28515625" style="112" customWidth="1"/>
    <col min="16132" max="16132" width="18.85546875" style="112" customWidth="1"/>
    <col min="16133" max="16133" width="14.85546875" style="112" customWidth="1"/>
    <col min="16134" max="16134" width="17.28515625" style="112" customWidth="1"/>
    <col min="16135" max="16135" width="15.28515625" style="112" customWidth="1"/>
    <col min="16136" max="16136" width="17.28515625" style="112" customWidth="1"/>
    <col min="16137" max="16137" width="14.5703125" style="112" customWidth="1"/>
    <col min="16138" max="16138" width="16.7109375" style="112" customWidth="1"/>
    <col min="16139" max="16384" width="9.140625" style="112"/>
  </cols>
  <sheetData>
    <row r="1" spans="1:10" s="110" customFormat="1" ht="18" customHeight="1">
      <c r="A1" s="109" t="s">
        <v>150</v>
      </c>
      <c r="C1" s="109" t="s">
        <v>151</v>
      </c>
      <c r="G1" s="111"/>
      <c r="H1" s="111"/>
      <c r="I1" s="111"/>
      <c r="J1" s="111"/>
    </row>
    <row r="2" spans="1:10" ht="5.25" customHeight="1"/>
    <row r="3" spans="1:10" ht="13.5" customHeight="1">
      <c r="A3" s="231" t="s">
        <v>152</v>
      </c>
      <c r="B3" s="232"/>
      <c r="C3" s="232"/>
      <c r="D3" s="232"/>
      <c r="F3" s="233" t="s">
        <v>153</v>
      </c>
      <c r="G3" s="234"/>
      <c r="H3" s="235"/>
      <c r="I3" s="114"/>
      <c r="J3" s="115"/>
    </row>
    <row r="4" spans="1:10" ht="13.5" customHeight="1">
      <c r="A4" s="236" t="s">
        <v>154</v>
      </c>
      <c r="B4" s="236"/>
      <c r="C4" s="236"/>
      <c r="D4" s="236"/>
      <c r="F4" s="237" t="s">
        <v>155</v>
      </c>
      <c r="G4" s="238"/>
      <c r="H4" s="239"/>
      <c r="I4" s="116"/>
      <c r="J4" s="116"/>
    </row>
    <row r="5" spans="1:10" ht="5.25" customHeight="1">
      <c r="F5" s="117"/>
    </row>
    <row r="6" spans="1:10" ht="12.75" customHeight="1">
      <c r="A6" s="118" t="s">
        <v>156</v>
      </c>
      <c r="B6" s="119"/>
      <c r="C6" s="120"/>
      <c r="D6" s="121"/>
      <c r="E6" s="122"/>
      <c r="F6" s="123" t="s">
        <v>157</v>
      </c>
      <c r="G6" s="124"/>
      <c r="H6" s="124"/>
      <c r="I6" s="125"/>
      <c r="J6" s="126" t="s">
        <v>158</v>
      </c>
    </row>
    <row r="7" spans="1:10" ht="12.75" customHeight="1">
      <c r="A7" s="127"/>
      <c r="B7" s="240" t="s">
        <v>159</v>
      </c>
      <c r="C7" s="240"/>
      <c r="D7" s="241"/>
      <c r="E7" s="128"/>
      <c r="F7" s="129" t="s">
        <v>160</v>
      </c>
      <c r="G7" s="130"/>
      <c r="H7" s="130"/>
      <c r="I7" s="131"/>
      <c r="J7" s="132" t="s">
        <v>161</v>
      </c>
    </row>
    <row r="8" spans="1:10" ht="18" customHeight="1">
      <c r="A8" s="133"/>
      <c r="B8" s="128"/>
      <c r="C8" s="122"/>
      <c r="D8" s="122"/>
      <c r="E8" s="122"/>
      <c r="F8" s="134" t="s">
        <v>162</v>
      </c>
      <c r="G8" s="135"/>
      <c r="H8" s="135"/>
      <c r="I8" s="131"/>
      <c r="J8" s="136"/>
    </row>
    <row r="9" spans="1:10" ht="6.75" customHeight="1"/>
    <row r="10" spans="1:10" ht="18" customHeight="1">
      <c r="A10" s="137" t="s">
        <v>163</v>
      </c>
      <c r="B10" s="138" t="s">
        <v>164</v>
      </c>
      <c r="C10" s="139" t="s">
        <v>165</v>
      </c>
      <c r="D10" s="140" t="s">
        <v>166</v>
      </c>
      <c r="E10" s="141"/>
      <c r="F10" s="140" t="s">
        <v>167</v>
      </c>
      <c r="G10" s="142"/>
      <c r="H10" s="140"/>
      <c r="I10" s="142"/>
      <c r="J10" s="143"/>
    </row>
    <row r="11" spans="1:10" ht="18" customHeight="1">
      <c r="A11" s="144"/>
      <c r="B11" s="145"/>
      <c r="C11" s="146"/>
      <c r="D11" s="229" t="s">
        <v>168</v>
      </c>
      <c r="E11" s="230"/>
      <c r="F11" s="229" t="s">
        <v>169</v>
      </c>
      <c r="G11" s="230"/>
      <c r="H11" s="229"/>
      <c r="I11" s="230"/>
      <c r="J11" s="147" t="s">
        <v>3</v>
      </c>
    </row>
    <row r="12" spans="1:10" ht="55.5" customHeight="1">
      <c r="A12" s="148" t="s">
        <v>170</v>
      </c>
      <c r="B12" s="149" t="s">
        <v>170</v>
      </c>
      <c r="C12" s="150" t="s">
        <v>170</v>
      </c>
      <c r="D12" s="151" t="s">
        <v>171</v>
      </c>
      <c r="E12" s="152" t="s">
        <v>172</v>
      </c>
      <c r="F12" s="151" t="s">
        <v>173</v>
      </c>
      <c r="G12" s="152" t="s">
        <v>172</v>
      </c>
      <c r="H12" s="151"/>
      <c r="I12" s="151"/>
      <c r="J12" s="153"/>
    </row>
    <row r="13" spans="1:10" ht="15.75">
      <c r="A13" s="154">
        <v>1</v>
      </c>
      <c r="B13" s="242" t="s">
        <v>174</v>
      </c>
      <c r="C13" s="155" t="s">
        <v>175</v>
      </c>
      <c r="D13" s="244">
        <v>873.66</v>
      </c>
      <c r="E13" s="245"/>
      <c r="F13" s="244">
        <f>1206.29-D13</f>
        <v>332.63</v>
      </c>
      <c r="G13" s="245"/>
      <c r="H13" s="244">
        <v>0</v>
      </c>
      <c r="I13" s="245"/>
      <c r="J13" s="156">
        <f>SUM(D13:I13)</f>
        <v>1206.29</v>
      </c>
    </row>
    <row r="14" spans="1:10" ht="15.75">
      <c r="A14" s="157" t="s">
        <v>170</v>
      </c>
      <c r="B14" s="243"/>
      <c r="C14" s="158" t="s">
        <v>176</v>
      </c>
      <c r="D14" s="246">
        <v>300000</v>
      </c>
      <c r="E14" s="247"/>
      <c r="F14" s="246">
        <f>GALERIAS!G82-CRONOMOD!D14</f>
        <v>110065.03999999992</v>
      </c>
      <c r="G14" s="247"/>
      <c r="H14" s="246">
        <v>0</v>
      </c>
      <c r="I14" s="247"/>
      <c r="J14" s="159">
        <f>SUM(D14:I14)</f>
        <v>410065.03999999992</v>
      </c>
    </row>
    <row r="15" spans="1:10" ht="15.75">
      <c r="A15" s="154">
        <v>2</v>
      </c>
      <c r="B15" s="160"/>
      <c r="C15" s="155" t="s">
        <v>175</v>
      </c>
      <c r="D15" s="244"/>
      <c r="E15" s="245"/>
      <c r="F15" s="244"/>
      <c r="G15" s="248"/>
      <c r="H15" s="244"/>
      <c r="I15" s="248"/>
      <c r="J15" s="156">
        <f>SUM(D15)</f>
        <v>0</v>
      </c>
    </row>
    <row r="16" spans="1:10" ht="15.75">
      <c r="A16" s="161"/>
      <c r="B16" s="162"/>
      <c r="C16" s="158" t="s">
        <v>176</v>
      </c>
      <c r="D16" s="246"/>
      <c r="E16" s="247"/>
      <c r="F16" s="246"/>
      <c r="G16" s="249"/>
      <c r="H16" s="246"/>
      <c r="I16" s="249"/>
      <c r="J16" s="159">
        <f>SUM(D16)</f>
        <v>0</v>
      </c>
    </row>
    <row r="17" spans="1:10" ht="15.75">
      <c r="A17" s="154">
        <v>3</v>
      </c>
      <c r="B17" s="163"/>
      <c r="C17" s="155" t="s">
        <v>175</v>
      </c>
      <c r="D17" s="244"/>
      <c r="E17" s="245"/>
      <c r="F17" s="244"/>
      <c r="G17" s="248"/>
      <c r="H17" s="244"/>
      <c r="I17" s="248"/>
      <c r="J17" s="156">
        <f>SUM(D17:I17)</f>
        <v>0</v>
      </c>
    </row>
    <row r="18" spans="1:10" ht="15.75">
      <c r="A18" s="161"/>
      <c r="B18" s="162"/>
      <c r="C18" s="158" t="s">
        <v>176</v>
      </c>
      <c r="D18" s="246"/>
      <c r="E18" s="247"/>
      <c r="F18" s="246"/>
      <c r="G18" s="249"/>
      <c r="H18" s="246"/>
      <c r="I18" s="249"/>
      <c r="J18" s="159">
        <f>SUM(D18:I18)</f>
        <v>0</v>
      </c>
    </row>
    <row r="19" spans="1:10" ht="15.75">
      <c r="A19" s="154">
        <v>4</v>
      </c>
      <c r="B19" s="163"/>
      <c r="C19" s="155"/>
      <c r="D19" s="244"/>
      <c r="E19" s="245"/>
      <c r="F19" s="244"/>
      <c r="G19" s="248"/>
      <c r="H19" s="244"/>
      <c r="I19" s="248"/>
      <c r="J19" s="156">
        <f t="shared" ref="J19:J26" si="0">D19+F19</f>
        <v>0</v>
      </c>
    </row>
    <row r="20" spans="1:10" ht="15.75">
      <c r="A20" s="164"/>
      <c r="B20" s="165"/>
      <c r="C20" s="158"/>
      <c r="D20" s="246"/>
      <c r="E20" s="247"/>
      <c r="F20" s="246"/>
      <c r="G20" s="247"/>
      <c r="H20" s="246"/>
      <c r="I20" s="247"/>
      <c r="J20" s="156">
        <f t="shared" si="0"/>
        <v>0</v>
      </c>
    </row>
    <row r="21" spans="1:10" ht="15.75">
      <c r="A21" s="154">
        <v>5</v>
      </c>
      <c r="B21" s="163"/>
      <c r="C21" s="155"/>
      <c r="D21" s="244"/>
      <c r="E21" s="245"/>
      <c r="F21" s="244"/>
      <c r="G21" s="248"/>
      <c r="H21" s="244"/>
      <c r="I21" s="248"/>
      <c r="J21" s="156">
        <f t="shared" si="0"/>
        <v>0</v>
      </c>
    </row>
    <row r="22" spans="1:10" ht="15.75">
      <c r="A22" s="164"/>
      <c r="B22" s="165"/>
      <c r="C22" s="158"/>
      <c r="D22" s="246"/>
      <c r="E22" s="247"/>
      <c r="F22" s="246"/>
      <c r="G22" s="247"/>
      <c r="H22" s="246"/>
      <c r="I22" s="247"/>
      <c r="J22" s="156">
        <f t="shared" si="0"/>
        <v>0</v>
      </c>
    </row>
    <row r="23" spans="1:10" ht="15.75">
      <c r="A23" s="154">
        <v>6</v>
      </c>
      <c r="B23" s="163"/>
      <c r="C23" s="155"/>
      <c r="D23" s="244"/>
      <c r="E23" s="245"/>
      <c r="F23" s="244"/>
      <c r="G23" s="248"/>
      <c r="H23" s="244"/>
      <c r="I23" s="248"/>
      <c r="J23" s="156">
        <f t="shared" si="0"/>
        <v>0</v>
      </c>
    </row>
    <row r="24" spans="1:10" ht="15.75">
      <c r="A24" s="164"/>
      <c r="B24" s="165"/>
      <c r="C24" s="158"/>
      <c r="D24" s="246"/>
      <c r="E24" s="247"/>
      <c r="F24" s="246"/>
      <c r="G24" s="247"/>
      <c r="H24" s="246"/>
      <c r="I24" s="247"/>
      <c r="J24" s="156">
        <f t="shared" si="0"/>
        <v>0</v>
      </c>
    </row>
    <row r="25" spans="1:10" ht="15.75">
      <c r="A25" s="154">
        <v>7</v>
      </c>
      <c r="B25" s="163"/>
      <c r="C25" s="155"/>
      <c r="D25" s="244"/>
      <c r="E25" s="245"/>
      <c r="F25" s="244"/>
      <c r="G25" s="248"/>
      <c r="H25" s="244"/>
      <c r="I25" s="248"/>
      <c r="J25" s="156">
        <f t="shared" si="0"/>
        <v>0</v>
      </c>
    </row>
    <row r="26" spans="1:10" ht="16.5" thickBot="1">
      <c r="A26" s="164"/>
      <c r="B26" s="165"/>
      <c r="C26" s="158"/>
      <c r="D26" s="246"/>
      <c r="E26" s="247"/>
      <c r="F26" s="246"/>
      <c r="G26" s="247"/>
      <c r="H26" s="246"/>
      <c r="I26" s="247"/>
      <c r="J26" s="156">
        <f t="shared" si="0"/>
        <v>0</v>
      </c>
    </row>
    <row r="27" spans="1:10" ht="6.75" customHeight="1" thickBot="1">
      <c r="A27" s="166"/>
      <c r="B27" s="167"/>
      <c r="C27" s="168"/>
      <c r="D27" s="169"/>
      <c r="E27" s="169"/>
      <c r="F27" s="170"/>
      <c r="G27" s="171"/>
      <c r="H27" s="170"/>
      <c r="I27" s="171"/>
      <c r="J27" s="172"/>
    </row>
    <row r="28" spans="1:10" ht="14.25" customHeight="1">
      <c r="A28" s="173" t="s">
        <v>177</v>
      </c>
      <c r="B28" s="174"/>
      <c r="C28" s="175"/>
      <c r="D28" s="250">
        <f>D14</f>
        <v>300000</v>
      </c>
      <c r="E28" s="251"/>
      <c r="F28" s="250">
        <v>100000</v>
      </c>
      <c r="G28" s="251"/>
      <c r="H28" s="250"/>
      <c r="I28" s="251"/>
      <c r="J28" s="176">
        <f>D28+F28</f>
        <v>400000</v>
      </c>
    </row>
    <row r="29" spans="1:10" ht="17.25" customHeight="1">
      <c r="A29" s="177" t="s">
        <v>178</v>
      </c>
      <c r="B29" s="174"/>
      <c r="C29" s="175"/>
      <c r="D29" s="252"/>
      <c r="E29" s="253"/>
      <c r="F29" s="252">
        <v>5474.44</v>
      </c>
      <c r="G29" s="253"/>
      <c r="H29" s="252"/>
      <c r="I29" s="254"/>
      <c r="J29" s="178">
        <f>F29</f>
        <v>5474.44</v>
      </c>
    </row>
    <row r="30" spans="1:10" s="181" customFormat="1" ht="15.75" customHeight="1">
      <c r="A30" s="173" t="s">
        <v>179</v>
      </c>
      <c r="B30" s="179"/>
      <c r="C30" s="180"/>
      <c r="D30" s="250">
        <f>D29+D28</f>
        <v>300000</v>
      </c>
      <c r="E30" s="251"/>
      <c r="F30" s="250">
        <f>F29+F28</f>
        <v>105474.44</v>
      </c>
      <c r="G30" s="251"/>
      <c r="H30" s="250"/>
      <c r="I30" s="251"/>
      <c r="J30" s="176">
        <f>D30+F30</f>
        <v>405474.44</v>
      </c>
    </row>
    <row r="31" spans="1:10" s="181" customFormat="1" ht="4.5" customHeight="1">
      <c r="A31" s="182"/>
      <c r="B31" s="183"/>
      <c r="C31" s="184"/>
      <c r="D31" s="185"/>
      <c r="E31" s="185"/>
      <c r="F31" s="186"/>
      <c r="G31" s="186"/>
      <c r="H31" s="186"/>
      <c r="I31" s="186"/>
      <c r="J31" s="185"/>
    </row>
    <row r="32" spans="1:10" ht="9" customHeight="1">
      <c r="F32" s="110"/>
      <c r="G32" s="110"/>
      <c r="H32" s="110"/>
      <c r="I32" s="110"/>
      <c r="J32" s="110"/>
    </row>
    <row r="33" spans="1:6" ht="15" customHeight="1">
      <c r="A33" s="187" t="s">
        <v>180</v>
      </c>
      <c r="B33" s="110"/>
      <c r="C33" s="188"/>
      <c r="D33" s="188"/>
      <c r="E33" s="188"/>
      <c r="F33" s="189"/>
    </row>
    <row r="34" spans="1:6" ht="20.25" customHeight="1">
      <c r="A34" s="190" t="str">
        <f>[1]Planilha1!D70</f>
        <v>EDSON LUIZ DA SILVA</v>
      </c>
      <c r="B34" s="191"/>
      <c r="C34" s="191"/>
      <c r="D34" s="191"/>
      <c r="E34" s="191"/>
      <c r="F34" s="189"/>
    </row>
    <row r="35" spans="1:6" ht="14.25" customHeight="1">
      <c r="A35" s="112" t="str">
        <f>[1]Planilha1!D72</f>
        <v>CREA: 506.074.053-0/D</v>
      </c>
      <c r="B35" s="192"/>
      <c r="C35" s="188" t="s">
        <v>170</v>
      </c>
      <c r="D35" s="188"/>
      <c r="E35" s="188"/>
    </row>
    <row r="36" spans="1:6" ht="17.25" customHeight="1">
      <c r="B36" s="128"/>
      <c r="C36" s="122"/>
      <c r="D36" s="122"/>
    </row>
    <row r="37" spans="1:6" ht="18" customHeight="1">
      <c r="B37" s="193"/>
      <c r="C37" s="122"/>
      <c r="D37" s="122"/>
    </row>
    <row r="38" spans="1:6" ht="18" customHeight="1">
      <c r="B38" s="193"/>
      <c r="C38" s="122"/>
      <c r="D38" s="122"/>
    </row>
    <row r="39" spans="1:6" ht="18" customHeight="1">
      <c r="B39" s="193"/>
      <c r="C39" s="122"/>
      <c r="D39" s="122"/>
    </row>
    <row r="40" spans="1:6" ht="5.25" customHeight="1">
      <c r="A40" s="110"/>
      <c r="B40" s="194"/>
      <c r="C40" s="122"/>
      <c r="D40" s="122"/>
    </row>
    <row r="41" spans="1:6" ht="18" customHeight="1">
      <c r="A41" s="110"/>
      <c r="B41" s="193"/>
      <c r="C41" s="122"/>
      <c r="D41" s="122"/>
    </row>
    <row r="42" spans="1:6" ht="18" customHeight="1">
      <c r="B42" s="128"/>
      <c r="C42" s="122"/>
      <c r="D42" s="122"/>
    </row>
  </sheetData>
  <mergeCells count="60">
    <mergeCell ref="D30:E30"/>
    <mergeCell ref="F30:G30"/>
    <mergeCell ref="H30:I30"/>
    <mergeCell ref="D28:E28"/>
    <mergeCell ref="F28:G28"/>
    <mergeCell ref="H28:I28"/>
    <mergeCell ref="D29:E29"/>
    <mergeCell ref="F29:G29"/>
    <mergeCell ref="H29:I29"/>
    <mergeCell ref="D25:E25"/>
    <mergeCell ref="F25:G25"/>
    <mergeCell ref="H25:I25"/>
    <mergeCell ref="D26:E26"/>
    <mergeCell ref="F26:G26"/>
    <mergeCell ref="H26:I26"/>
    <mergeCell ref="D23:E23"/>
    <mergeCell ref="F23:G23"/>
    <mergeCell ref="H23:I23"/>
    <mergeCell ref="D24:E24"/>
    <mergeCell ref="F24:G24"/>
    <mergeCell ref="H24:I24"/>
    <mergeCell ref="D21:E21"/>
    <mergeCell ref="F21:G21"/>
    <mergeCell ref="H21:I21"/>
    <mergeCell ref="D22:E22"/>
    <mergeCell ref="F22:G22"/>
    <mergeCell ref="H22:I22"/>
    <mergeCell ref="D19:E19"/>
    <mergeCell ref="F19:G19"/>
    <mergeCell ref="H19:I19"/>
    <mergeCell ref="D20:E20"/>
    <mergeCell ref="F20:G20"/>
    <mergeCell ref="H20:I20"/>
    <mergeCell ref="D17:E17"/>
    <mergeCell ref="F17:G17"/>
    <mergeCell ref="H17:I17"/>
    <mergeCell ref="D18:E18"/>
    <mergeCell ref="F18:G18"/>
    <mergeCell ref="H18:I18"/>
    <mergeCell ref="D15:E15"/>
    <mergeCell ref="F15:G15"/>
    <mergeCell ref="H15:I15"/>
    <mergeCell ref="D16:E16"/>
    <mergeCell ref="F16:G16"/>
    <mergeCell ref="H16:I16"/>
    <mergeCell ref="B13:B14"/>
    <mergeCell ref="D13:E13"/>
    <mergeCell ref="F13:G13"/>
    <mergeCell ref="H13:I13"/>
    <mergeCell ref="D14:E14"/>
    <mergeCell ref="F14:G14"/>
    <mergeCell ref="H14:I14"/>
    <mergeCell ref="D11:E11"/>
    <mergeCell ref="F11:G11"/>
    <mergeCell ref="H11:I11"/>
    <mergeCell ref="A3:D3"/>
    <mergeCell ref="F3:H3"/>
    <mergeCell ref="A4:D4"/>
    <mergeCell ref="F4:H4"/>
    <mergeCell ref="B7:D7"/>
  </mergeCells>
  <pageMargins left="0.19685039370078741" right="0.19685039370078741" top="0.39370078740157483" bottom="0.39370078740157483" header="0.51181102362204722" footer="0.51181102362204722"/>
  <pageSetup paperSize="9" scale="84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GALERIAS</vt:lpstr>
      <vt:lpstr>Planilha1</vt:lpstr>
      <vt:lpstr>CRONOMOD</vt:lpstr>
      <vt:lpstr>CRONOMOD!Area_de_impressao</vt:lpstr>
      <vt:lpstr>GALERIAS!Area_de_impressao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Guilherme</cp:lastModifiedBy>
  <cp:lastPrinted>2021-10-28T13:09:06Z</cp:lastPrinted>
  <dcterms:created xsi:type="dcterms:W3CDTF">2014-12-23T12:46:29Z</dcterms:created>
  <dcterms:modified xsi:type="dcterms:W3CDTF">2021-11-05T15:28:17Z</dcterms:modified>
</cp:coreProperties>
</file>